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Appendix D" sheetId="1" r:id="rId1"/>
    <sheet name="Orbital Parameters" sheetId="2" r:id="rId2"/>
    <sheet name="Loads" sheetId="3" r:id="rId3"/>
  </sheets>
  <definedNames/>
  <calcPr fullCalcOnLoad="1"/>
</workbook>
</file>

<file path=xl/sharedStrings.xml><?xml version="1.0" encoding="utf-8"?>
<sst xmlns="http://schemas.openxmlformats.org/spreadsheetml/2006/main" count="184" uniqueCount="67">
  <si>
    <t>Altitude</t>
  </si>
  <si>
    <r>
      <t>F</t>
    </r>
    <r>
      <rPr>
        <b/>
        <i/>
        <sz val="6"/>
        <rFont val="Arial"/>
        <family val="0"/>
      </rPr>
      <t>albedo</t>
    </r>
  </si>
  <si>
    <t>(km)</t>
  </si>
  <si>
    <t>Alt. (km)</t>
  </si>
  <si>
    <t>GEO</t>
  </si>
  <si>
    <t>GEO</t>
  </si>
  <si>
    <t>Alt. (km)</t>
  </si>
  <si>
    <t>q</t>
  </si>
  <si>
    <r>
      <t xml:space="preserve">TABLE D-5. Geometric Factor for Earth Albedo on a Flat Plate for </t>
    </r>
    <r>
      <rPr>
        <b/>
        <sz val="11"/>
        <rFont val="Symbol"/>
        <family val="1"/>
      </rPr>
      <t>h</t>
    </r>
    <r>
      <rPr>
        <b/>
        <sz val="11"/>
        <rFont val="Arial"/>
        <family val="0"/>
      </rPr>
      <t xml:space="preserve"> </t>
    </r>
    <r>
      <rPr>
        <sz val="8"/>
        <rFont val="Arial"/>
        <family val="0"/>
      </rPr>
      <t xml:space="preserve">= </t>
    </r>
    <r>
      <rPr>
        <b/>
        <sz val="8"/>
        <rFont val="Arial"/>
        <family val="0"/>
      </rPr>
      <t>0.</t>
    </r>
  </si>
  <si>
    <r>
      <t>(0.0314 R</t>
    </r>
    <r>
      <rPr>
        <vertAlign val="subscript"/>
        <sz val="8"/>
        <rFont val="Arial"/>
        <family val="2"/>
      </rPr>
      <t>E</t>
    </r>
    <r>
      <rPr>
        <sz val="8"/>
        <rFont val="Arial"/>
        <family val="0"/>
      </rPr>
      <t>)</t>
    </r>
  </si>
  <si>
    <r>
      <t>(0.0784 R</t>
    </r>
    <r>
      <rPr>
        <vertAlign val="subscript"/>
        <sz val="8"/>
        <rFont val="Arial"/>
        <family val="2"/>
      </rPr>
      <t>E</t>
    </r>
    <r>
      <rPr>
        <sz val="8"/>
        <rFont val="Arial"/>
        <family val="0"/>
      </rPr>
      <t>)</t>
    </r>
  </si>
  <si>
    <r>
      <t>(0.158 R</t>
    </r>
    <r>
      <rPr>
        <vertAlign val="subscript"/>
        <sz val="8"/>
        <rFont val="Arial"/>
        <family val="2"/>
      </rPr>
      <t>E</t>
    </r>
    <r>
      <rPr>
        <sz val="8"/>
        <rFont val="Arial"/>
        <family val="0"/>
      </rPr>
      <t>)</t>
    </r>
  </si>
  <si>
    <r>
      <t>(0.235 R</t>
    </r>
    <r>
      <rPr>
        <b/>
        <vertAlign val="subscript"/>
        <sz val="8"/>
        <rFont val="Arial"/>
        <family val="2"/>
      </rPr>
      <t>E</t>
    </r>
    <r>
      <rPr>
        <sz val="8"/>
        <rFont val="Arial"/>
        <family val="0"/>
      </rPr>
      <t>)</t>
    </r>
  </si>
  <si>
    <r>
      <t>(0.314 R</t>
    </r>
    <r>
      <rPr>
        <vertAlign val="subscript"/>
        <sz val="8"/>
        <rFont val="Arial"/>
        <family val="2"/>
      </rPr>
      <t>E</t>
    </r>
    <r>
      <rPr>
        <sz val="8"/>
        <rFont val="Arial"/>
        <family val="0"/>
      </rPr>
      <t>)</t>
    </r>
  </si>
  <si>
    <r>
      <t>(5.611 R</t>
    </r>
    <r>
      <rPr>
        <vertAlign val="subscript"/>
        <sz val="8"/>
        <rFont val="Arial"/>
        <family val="2"/>
      </rPr>
      <t>E</t>
    </r>
    <r>
      <rPr>
        <sz val="8"/>
        <rFont val="Arial"/>
        <family val="0"/>
      </rPr>
      <t>)</t>
    </r>
  </si>
  <si>
    <t>Falbedo</t>
  </si>
  <si>
    <r>
      <t xml:space="preserve">TABLE D-7. Geometric Factor for Earth Albedo on a Flat Plate for </t>
    </r>
    <r>
      <rPr>
        <b/>
        <sz val="8"/>
        <rFont val="Symbol"/>
        <family val="1"/>
      </rPr>
      <t>h</t>
    </r>
    <r>
      <rPr>
        <sz val="8"/>
        <rFont val="Arial"/>
        <family val="0"/>
      </rPr>
      <t xml:space="preserve"> = </t>
    </r>
    <r>
      <rPr>
        <b/>
        <sz val="8"/>
        <rFont val="Arial"/>
        <family val="0"/>
      </rPr>
      <t>60.</t>
    </r>
  </si>
  <si>
    <r>
      <t>W</t>
    </r>
    <r>
      <rPr>
        <b/>
        <sz val="8"/>
        <rFont val="Arial"/>
        <family val="0"/>
      </rPr>
      <t xml:space="preserve"> = 0</t>
    </r>
  </si>
  <si>
    <r>
      <t>W</t>
    </r>
    <r>
      <rPr>
        <b/>
        <sz val="8"/>
        <rFont val="Arial"/>
        <family val="0"/>
      </rPr>
      <t xml:space="preserve"> = 30</t>
    </r>
  </si>
  <si>
    <r>
      <t>W</t>
    </r>
    <r>
      <rPr>
        <b/>
        <sz val="8"/>
        <rFont val="Arial"/>
        <family val="0"/>
      </rPr>
      <t xml:space="preserve"> = 60</t>
    </r>
  </si>
  <si>
    <r>
      <t>W</t>
    </r>
    <r>
      <rPr>
        <b/>
        <sz val="8"/>
        <rFont val="Arial"/>
        <family val="0"/>
      </rPr>
      <t xml:space="preserve"> = 90</t>
    </r>
  </si>
  <si>
    <r>
      <t>W</t>
    </r>
    <r>
      <rPr>
        <b/>
        <sz val="8"/>
        <rFont val="Arial"/>
        <family val="0"/>
      </rPr>
      <t xml:space="preserve"> = 120</t>
    </r>
  </si>
  <si>
    <r>
      <t>W</t>
    </r>
    <r>
      <rPr>
        <b/>
        <sz val="8"/>
        <rFont val="Arial"/>
        <family val="0"/>
      </rPr>
      <t xml:space="preserve"> = 150</t>
    </r>
  </si>
  <si>
    <r>
      <t>W</t>
    </r>
    <r>
      <rPr>
        <b/>
        <sz val="8"/>
        <rFont val="Arial"/>
        <family val="0"/>
      </rPr>
      <t xml:space="preserve"> = 180</t>
    </r>
  </si>
  <si>
    <r>
      <t xml:space="preserve">TABLE D-8. Geometric Factor for Earth Albedo on a Flat Plate for </t>
    </r>
    <r>
      <rPr>
        <b/>
        <sz val="8"/>
        <rFont val="Symbol"/>
        <family val="1"/>
      </rPr>
      <t>h</t>
    </r>
    <r>
      <rPr>
        <sz val="8"/>
        <rFont val="Arial"/>
        <family val="0"/>
      </rPr>
      <t xml:space="preserve"> = </t>
    </r>
    <r>
      <rPr>
        <b/>
        <sz val="8"/>
        <rFont val="Arial"/>
        <family val="0"/>
      </rPr>
      <t>90.</t>
    </r>
  </si>
  <si>
    <r>
      <t xml:space="preserve">TABLE D-6. Geometric Factor for Earth Albedo on a Flat Plate for </t>
    </r>
    <r>
      <rPr>
        <b/>
        <sz val="8"/>
        <rFont val="Symbol"/>
        <family val="1"/>
      </rPr>
      <t>h</t>
    </r>
    <r>
      <rPr>
        <sz val="8"/>
        <rFont val="Arial"/>
        <family val="0"/>
      </rPr>
      <t xml:space="preserve"> = </t>
    </r>
    <r>
      <rPr>
        <b/>
        <sz val="8"/>
        <rFont val="Arial"/>
        <family val="0"/>
      </rPr>
      <t>30.</t>
    </r>
  </si>
  <si>
    <r>
      <t xml:space="preserve">W </t>
    </r>
    <r>
      <rPr>
        <b/>
        <sz val="8"/>
        <rFont val="Arial"/>
        <family val="0"/>
      </rPr>
      <t>= 0 - 360</t>
    </r>
  </si>
  <si>
    <r>
      <t xml:space="preserve">TABLE D-9. Geometric Factor for Earth Albedo on a Flat Plate for </t>
    </r>
    <r>
      <rPr>
        <b/>
        <sz val="8"/>
        <rFont val="Symbol"/>
        <family val="1"/>
      </rPr>
      <t>h</t>
    </r>
    <r>
      <rPr>
        <sz val="8"/>
        <rFont val="Arial"/>
        <family val="0"/>
      </rPr>
      <t xml:space="preserve"> = </t>
    </r>
    <r>
      <rPr>
        <b/>
        <sz val="8"/>
        <rFont val="Arial"/>
        <family val="0"/>
      </rPr>
      <t>120.</t>
    </r>
  </si>
  <si>
    <r>
      <t xml:space="preserve">TABLE D-10. Geometric Factor for Earth Albedo on a Flat Plate for </t>
    </r>
    <r>
      <rPr>
        <b/>
        <sz val="8"/>
        <rFont val="Symbol"/>
        <family val="1"/>
      </rPr>
      <t>h</t>
    </r>
    <r>
      <rPr>
        <sz val="8"/>
        <rFont val="Arial"/>
        <family val="0"/>
      </rPr>
      <t xml:space="preserve"> = </t>
    </r>
    <r>
      <rPr>
        <b/>
        <sz val="8"/>
        <rFont val="Arial"/>
        <family val="0"/>
      </rPr>
      <t>150.</t>
    </r>
  </si>
  <si>
    <t>h</t>
  </si>
  <si>
    <r>
      <t>F</t>
    </r>
    <r>
      <rPr>
        <b/>
        <vertAlign val="subscript"/>
        <sz val="8"/>
        <rFont val="Arial"/>
        <family val="2"/>
      </rPr>
      <t>IR</t>
    </r>
  </si>
  <si>
    <t>Altitude (Km)</t>
  </si>
  <si>
    <t>TABLE D-4. Geometric Factor for Earth IR on a Flat Plate</t>
  </si>
  <si>
    <t>Orbital Parameters</t>
  </si>
  <si>
    <t>W</t>
  </si>
  <si>
    <t>Summer Solstice</t>
  </si>
  <si>
    <t>Equinox</t>
  </si>
  <si>
    <t>Winter Solstice</t>
  </si>
  <si>
    <t>Morning</t>
  </si>
  <si>
    <t>Noon (sub-solar)</t>
  </si>
  <si>
    <t>Polar Orbit Type</t>
  </si>
  <si>
    <r>
      <rPr>
        <b/>
        <i/>
        <sz val="10"/>
        <rFont val="Cambria"/>
        <family val="1"/>
      </rPr>
      <t>f</t>
    </r>
    <r>
      <rPr>
        <b/>
        <vertAlign val="subscript"/>
        <sz val="10"/>
        <rFont val="Arial"/>
        <family val="2"/>
      </rPr>
      <t>albedo</t>
    </r>
  </si>
  <si>
    <r>
      <rPr>
        <b/>
        <sz val="10"/>
        <rFont val="Symbol"/>
        <family val="1"/>
      </rPr>
      <t>I</t>
    </r>
    <r>
      <rPr>
        <b/>
        <vertAlign val="subscript"/>
        <sz val="10"/>
        <rFont val="Arial"/>
        <family val="2"/>
      </rPr>
      <t>solar</t>
    </r>
  </si>
  <si>
    <r>
      <t>Leading/Trailing Faces (</t>
    </r>
    <r>
      <rPr>
        <b/>
        <sz val="10"/>
        <color indexed="9"/>
        <rFont val="Symbol"/>
        <family val="1"/>
      </rPr>
      <t>h</t>
    </r>
    <r>
      <rPr>
        <b/>
        <sz val="10"/>
        <color indexed="9"/>
        <rFont val="Arial"/>
        <family val="2"/>
      </rPr>
      <t>=90)</t>
    </r>
  </si>
  <si>
    <r>
      <rPr>
        <b/>
        <sz val="10"/>
        <rFont val="Symbol"/>
        <family val="1"/>
      </rPr>
      <t>I</t>
    </r>
    <r>
      <rPr>
        <b/>
        <vertAlign val="subscript"/>
        <sz val="10"/>
        <rFont val="Arial"/>
        <family val="2"/>
      </rPr>
      <t>ir</t>
    </r>
  </si>
  <si>
    <r>
      <rPr>
        <b/>
        <sz val="10"/>
        <rFont val="Cambria"/>
        <family val="1"/>
      </rPr>
      <t>F</t>
    </r>
    <r>
      <rPr>
        <b/>
        <vertAlign val="subscript"/>
        <sz val="10"/>
        <rFont val="Arial"/>
        <family val="2"/>
      </rPr>
      <t>albedo</t>
    </r>
  </si>
  <si>
    <r>
      <rPr>
        <b/>
        <sz val="10"/>
        <rFont val="Cambria"/>
        <family val="1"/>
      </rPr>
      <t>F</t>
    </r>
    <r>
      <rPr>
        <b/>
        <vertAlign val="subscript"/>
        <sz val="10"/>
        <rFont val="Arial"/>
        <family val="2"/>
      </rPr>
      <t>ir</t>
    </r>
  </si>
  <si>
    <r>
      <t>Side Rotating Faces (</t>
    </r>
    <r>
      <rPr>
        <b/>
        <sz val="10"/>
        <color indexed="9"/>
        <rFont val="Symbol"/>
        <family val="1"/>
      </rPr>
      <t>h</t>
    </r>
    <r>
      <rPr>
        <b/>
        <sz val="10"/>
        <color indexed="9"/>
        <rFont val="Arial"/>
        <family val="2"/>
      </rPr>
      <t>=0)</t>
    </r>
  </si>
  <si>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solar</t>
    </r>
  </si>
  <si>
    <r>
      <t>Q</t>
    </r>
    <r>
      <rPr>
        <b/>
        <vertAlign val="subscript"/>
        <sz val="10"/>
        <rFont val="Arial"/>
        <family val="2"/>
      </rPr>
      <t>albedo</t>
    </r>
  </si>
  <si>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ir</t>
    </r>
  </si>
  <si>
    <r>
      <t>Q</t>
    </r>
    <r>
      <rPr>
        <b/>
        <vertAlign val="subscript"/>
        <sz val="10"/>
        <rFont val="Arial"/>
        <family val="2"/>
      </rPr>
      <t>solar total</t>
    </r>
  </si>
  <si>
    <r>
      <t>Sun Facing (1366 W/m</t>
    </r>
    <r>
      <rPr>
        <vertAlign val="superscript"/>
        <sz val="20"/>
        <color indexed="8"/>
        <rFont val="Calibri"/>
        <family val="2"/>
      </rPr>
      <t>2</t>
    </r>
    <r>
      <rPr>
        <sz val="20"/>
        <color indexed="8"/>
        <rFont val="Calibri"/>
        <family val="2"/>
      </rPr>
      <t>)</t>
    </r>
  </si>
  <si>
    <r>
      <t>37.5 Incidence Angle (1084 W/m</t>
    </r>
    <r>
      <rPr>
        <vertAlign val="superscript"/>
        <sz val="20"/>
        <color indexed="8"/>
        <rFont val="Calibri"/>
        <family val="2"/>
      </rPr>
      <t>2</t>
    </r>
    <r>
      <rPr>
        <sz val="20"/>
        <color indexed="8"/>
        <rFont val="Calibri"/>
        <family val="2"/>
      </rPr>
      <t>)</t>
    </r>
  </si>
  <si>
    <r>
      <t>P/</t>
    </r>
    <r>
      <rPr>
        <b/>
        <sz val="11"/>
        <color indexed="8"/>
        <rFont val="Symbol"/>
        <family val="1"/>
      </rPr>
      <t>a</t>
    </r>
  </si>
  <si>
    <t>e/a</t>
  </si>
  <si>
    <r>
      <t>Space Facing (0 W/m</t>
    </r>
    <r>
      <rPr>
        <vertAlign val="superscript"/>
        <sz val="20"/>
        <color indexed="8"/>
        <rFont val="Calibri"/>
        <family val="2"/>
      </rPr>
      <t>2</t>
    </r>
    <r>
      <rPr>
        <sz val="20"/>
        <color indexed="8"/>
        <rFont val="Calibri"/>
        <family val="2"/>
      </rPr>
      <t>)</t>
    </r>
  </si>
  <si>
    <r>
      <t>75 Incidence Angle (354 W/m</t>
    </r>
    <r>
      <rPr>
        <vertAlign val="superscript"/>
        <sz val="20"/>
        <color indexed="8"/>
        <rFont val="Calibri"/>
        <family val="2"/>
      </rPr>
      <t>2</t>
    </r>
    <r>
      <rPr>
        <sz val="20"/>
        <color indexed="8"/>
        <rFont val="Calibri"/>
        <family val="2"/>
      </rPr>
      <t>)</t>
    </r>
  </si>
  <si>
    <t>Alodine 1200S Al.</t>
  </si>
  <si>
    <t>GaAs Solar Cells</t>
  </si>
  <si>
    <t>e</t>
  </si>
  <si>
    <t>a</t>
  </si>
  <si>
    <t>Area</t>
  </si>
  <si>
    <t>Material</t>
  </si>
  <si>
    <r>
      <t>T</t>
    </r>
    <r>
      <rPr>
        <b/>
        <vertAlign val="subscript"/>
        <sz val="10"/>
        <rFont val="Arial"/>
        <family val="2"/>
      </rPr>
      <t>solar cell</t>
    </r>
  </si>
  <si>
    <r>
      <t>T</t>
    </r>
    <r>
      <rPr>
        <b/>
        <vertAlign val="subscript"/>
        <sz val="10"/>
        <rFont val="Arial"/>
        <family val="2"/>
      </rPr>
      <t>aluminum</t>
    </r>
  </si>
  <si>
    <t>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</si>
</sst>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"/>
    <numFmt numFmtId="167" formatCode="0.00000"/>
    <numFmt numFmtId="168" formatCode="0.0"/>
    <numFmt numFmtId="169" formatCode="0.0000000"/>
  </numFmts>
  <fonts count="71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vertAlign val="subscript"/>
      <sz val="8"/>
      <name val="Arial"/>
      <family val="0"/>
    </font>
    <font>
      <b/>
      <i/>
      <sz val="6"/>
      <name val="Arial"/>
      <family val="0"/>
    </font>
    <font>
      <b/>
      <sz val="11"/>
      <name val="Symbol"/>
      <family val="1"/>
    </font>
    <font>
      <b/>
      <sz val="11"/>
      <name val="Arial"/>
      <family val="0"/>
    </font>
    <font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sz val="8"/>
      <name val="Symbol"/>
      <family val="1"/>
    </font>
    <font>
      <b/>
      <i/>
      <sz val="11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Cambria"/>
      <family val="1"/>
    </font>
    <font>
      <b/>
      <sz val="10"/>
      <color indexed="9"/>
      <name val="Symbol"/>
      <family val="1"/>
    </font>
    <font>
      <b/>
      <sz val="10"/>
      <name val="Cambria"/>
      <family val="1"/>
    </font>
    <font>
      <sz val="20"/>
      <color indexed="8"/>
      <name val="Calibri"/>
      <family val="2"/>
    </font>
    <font>
      <vertAlign val="superscript"/>
      <sz val="20"/>
      <color indexed="8"/>
      <name val="Calibri"/>
      <family val="2"/>
    </font>
    <font>
      <b/>
      <sz val="11"/>
      <color indexed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0"/>
      <color indexed="30"/>
      <name val="Arial"/>
      <family val="2"/>
    </font>
    <font>
      <b/>
      <i/>
      <sz val="10"/>
      <color indexed="53"/>
      <name val="Arial"/>
      <family val="2"/>
    </font>
    <font>
      <b/>
      <i/>
      <sz val="10"/>
      <color indexed="3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20"/>
      <color theme="1"/>
      <name val="Calibri"/>
      <family val="2"/>
    </font>
    <font>
      <b/>
      <sz val="11"/>
      <color theme="1"/>
      <name val="Symbol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double"/>
      <top/>
      <bottom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left" vertical="top"/>
    </xf>
    <xf numFmtId="1" fontId="2" fillId="0" borderId="11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2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164" fontId="2" fillId="0" borderId="15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horizontal="center" vertical="top"/>
    </xf>
    <xf numFmtId="164" fontId="2" fillId="0" borderId="15" xfId="0" applyNumberFormat="1" applyFont="1" applyFill="1" applyBorder="1" applyAlignment="1">
      <alignment horizontal="center" vertical="top"/>
    </xf>
    <xf numFmtId="164" fontId="2" fillId="0" borderId="17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 vertical="top"/>
    </xf>
    <xf numFmtId="1" fontId="2" fillId="0" borderId="16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0" fillId="0" borderId="15" xfId="0" applyFill="1" applyBorder="1" applyAlignment="1">
      <alignment horizontal="left" vertical="top"/>
    </xf>
    <xf numFmtId="0" fontId="0" fillId="0" borderId="13" xfId="0" applyBorder="1" applyAlignment="1">
      <alignment vertical="center" wrapText="1"/>
    </xf>
    <xf numFmtId="164" fontId="2" fillId="0" borderId="0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1" fontId="10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164" fontId="2" fillId="0" borderId="12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1" fontId="2" fillId="0" borderId="13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vertical="center" wrapText="1"/>
    </xf>
    <xf numFmtId="164" fontId="2" fillId="0" borderId="14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164" fontId="2" fillId="0" borderId="19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" fontId="2" fillId="0" borderId="14" xfId="0" applyNumberFormat="1" applyFont="1" applyFill="1" applyBorder="1" applyAlignment="1">
      <alignment horizontal="center" vertical="top"/>
    </xf>
    <xf numFmtId="1" fontId="2" fillId="0" borderId="19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top"/>
    </xf>
    <xf numFmtId="164" fontId="2" fillId="33" borderId="14" xfId="0" applyNumberFormat="1" applyFont="1" applyFill="1" applyBorder="1" applyAlignment="1">
      <alignment horizontal="center" vertical="top"/>
    </xf>
    <xf numFmtId="1" fontId="2" fillId="33" borderId="20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6" fillId="34" borderId="21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3" fillId="34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0" fillId="35" borderId="2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4" borderId="15" xfId="0" applyFill="1" applyBorder="1" applyAlignment="1">
      <alignment horizontal="center" vertical="center"/>
    </xf>
    <xf numFmtId="1" fontId="0" fillId="34" borderId="15" xfId="0" applyNumberFormat="1" applyFill="1" applyBorder="1" applyAlignment="1">
      <alignment horizontal="center"/>
    </xf>
    <xf numFmtId="0" fontId="13" fillId="34" borderId="14" xfId="0" applyFont="1" applyFill="1" applyBorder="1" applyAlignment="1">
      <alignment/>
    </xf>
    <xf numFmtId="0" fontId="0" fillId="0" borderId="0" xfId="0" applyBorder="1" applyAlignment="1">
      <alignment/>
    </xf>
    <xf numFmtId="1" fontId="0" fillId="0" borderId="1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63" fillId="0" borderId="22" xfId="0" applyFont="1" applyBorder="1" applyAlignment="1">
      <alignment horizontal="center"/>
    </xf>
    <xf numFmtId="1" fontId="63" fillId="0" borderId="15" xfId="0" applyNumberFormat="1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1" fontId="64" fillId="0" borderId="15" xfId="0" applyNumberFormat="1" applyFont="1" applyBorder="1" applyAlignment="1">
      <alignment horizontal="center"/>
    </xf>
    <xf numFmtId="0" fontId="65" fillId="0" borderId="21" xfId="0" applyFont="1" applyBorder="1" applyAlignment="1">
      <alignment/>
    </xf>
    <xf numFmtId="0" fontId="66" fillId="0" borderId="21" xfId="0" applyFont="1" applyBorder="1" applyAlignment="1">
      <alignment/>
    </xf>
    <xf numFmtId="1" fontId="67" fillId="0" borderId="10" xfId="0" applyNumberFormat="1" applyFont="1" applyBorder="1" applyAlignment="1">
      <alignment horizontal="center"/>
    </xf>
    <xf numFmtId="1" fontId="67" fillId="34" borderId="15" xfId="0" applyNumberFormat="1" applyFont="1" applyFill="1" applyBorder="1" applyAlignment="1">
      <alignment horizontal="center"/>
    </xf>
    <xf numFmtId="1" fontId="67" fillId="0" borderId="15" xfId="0" applyNumberFormat="1" applyFont="1" applyBorder="1" applyAlignment="1">
      <alignment horizontal="center"/>
    </xf>
    <xf numFmtId="0" fontId="67" fillId="35" borderId="0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1" fontId="64" fillId="0" borderId="0" xfId="0" applyNumberFormat="1" applyFont="1" applyAlignment="1">
      <alignment horizontal="center"/>
    </xf>
    <xf numFmtId="1" fontId="63" fillId="0" borderId="0" xfId="0" applyNumberFormat="1" applyFont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34" borderId="0" xfId="0" applyNumberFormat="1" applyFill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0" fontId="61" fillId="13" borderId="24" xfId="0" applyFont="1" applyFill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13" borderId="14" xfId="0" applyFont="1" applyFill="1" applyBorder="1" applyAlignment="1">
      <alignment horizontal="center"/>
    </xf>
    <xf numFmtId="1" fontId="0" fillId="13" borderId="0" xfId="0" applyNumberFormat="1" applyFill="1" applyAlignment="1">
      <alignment horizontal="center"/>
    </xf>
    <xf numFmtId="0" fontId="1" fillId="0" borderId="2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top" wrapText="1"/>
    </xf>
    <xf numFmtId="0" fontId="1" fillId="36" borderId="25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top" wrapText="1"/>
    </xf>
    <xf numFmtId="0" fontId="13" fillId="35" borderId="14" xfId="0" applyFont="1" applyFill="1" applyBorder="1" applyAlignment="1">
      <alignment horizontal="center" vertical="center"/>
    </xf>
    <xf numFmtId="0" fontId="13" fillId="35" borderId="29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/>
    </xf>
    <xf numFmtId="0" fontId="15" fillId="35" borderId="14" xfId="0" applyFont="1" applyFill="1" applyBorder="1" applyAlignment="1">
      <alignment horizontal="center" vertical="center"/>
    </xf>
    <xf numFmtId="0" fontId="68" fillId="37" borderId="0" xfId="0" applyFont="1" applyFill="1" applyAlignment="1">
      <alignment horizontal="center"/>
    </xf>
    <xf numFmtId="0" fontId="14" fillId="35" borderId="14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3" fillId="38" borderId="0" xfId="0" applyFont="1" applyFill="1" applyAlignment="1">
      <alignment horizontal="center"/>
    </xf>
    <xf numFmtId="0" fontId="0" fillId="39" borderId="24" xfId="0" applyFill="1" applyBorder="1" applyAlignment="1">
      <alignment horizontal="center"/>
    </xf>
    <xf numFmtId="0" fontId="69" fillId="39" borderId="0" xfId="0" applyFont="1" applyFill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8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13" fillId="35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center"/>
    </xf>
  </cellXfs>
  <cellStyles count="49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0AAF0"/>
      <rgbColor rgb="00E0AED1"/>
      <rgbColor rgb="006409E9"/>
      <rgbColor rgb="0074EACD"/>
      <rgbColor rgb="00F0ECC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85"/>
  <sheetViews>
    <sheetView zoomScalePageLayoutView="0" workbookViewId="0" topLeftCell="A16">
      <selection activeCell="I40" sqref="I40"/>
    </sheetView>
  </sheetViews>
  <sheetFormatPr defaultColWidth="9.140625" defaultRowHeight="12.75"/>
  <cols>
    <col min="1" max="1" width="3.7109375" style="5" customWidth="1"/>
    <col min="2" max="2" width="15.140625" style="5" customWidth="1"/>
    <col min="3" max="3" width="16.8515625" style="5" customWidth="1"/>
    <col min="4" max="4" width="23.28125" style="5" customWidth="1"/>
    <col min="5" max="5" width="8.421875" style="5" customWidth="1"/>
    <col min="6" max="6" width="2.140625" style="5" customWidth="1"/>
    <col min="7" max="7" width="9.00390625" style="5" customWidth="1"/>
    <col min="8" max="8" width="5.140625" style="5" customWidth="1"/>
    <col min="9" max="13" width="7.28125" style="5" customWidth="1"/>
    <col min="14" max="14" width="7.421875" style="5" customWidth="1"/>
    <col min="15" max="15" width="8.28125" style="5" customWidth="1"/>
    <col min="16" max="16" width="2.28125" style="5" customWidth="1"/>
    <col min="17" max="17" width="9.00390625" style="5" customWidth="1"/>
    <col min="18" max="18" width="5.140625" style="5" customWidth="1"/>
    <col min="19" max="25" width="7.28125" style="5" customWidth="1"/>
    <col min="26" max="225" width="9.140625" style="5" customWidth="1"/>
  </cols>
  <sheetData>
    <row r="1" spans="1:15" s="1" customFormat="1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8.75" customHeight="1">
      <c r="A2" s="44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5" s="1" customFormat="1" ht="12.75" customHeight="1">
      <c r="A3" s="23"/>
      <c r="B3" s="120" t="s">
        <v>8</v>
      </c>
      <c r="C3" s="120"/>
      <c r="D3" s="120"/>
      <c r="E3" s="28"/>
      <c r="G3" s="114" t="s">
        <v>16</v>
      </c>
      <c r="H3" s="114"/>
      <c r="I3" s="114"/>
      <c r="J3" s="114"/>
      <c r="K3" s="114"/>
      <c r="L3" s="114"/>
      <c r="M3" s="114"/>
      <c r="N3" s="114"/>
      <c r="O3" s="114"/>
      <c r="P3" s="23"/>
      <c r="Q3" s="114" t="s">
        <v>27</v>
      </c>
      <c r="R3" s="114"/>
      <c r="S3" s="114"/>
      <c r="T3" s="114"/>
      <c r="U3" s="114"/>
      <c r="V3" s="114"/>
      <c r="W3" s="114"/>
      <c r="X3" s="114"/>
      <c r="Y3" s="114"/>
    </row>
    <row r="4" spans="1:25" s="1" customFormat="1" ht="16.5" customHeight="1">
      <c r="A4" s="3"/>
      <c r="B4" s="32" t="s">
        <v>0</v>
      </c>
      <c r="C4" s="123" t="s">
        <v>7</v>
      </c>
      <c r="D4" s="34" t="s">
        <v>15</v>
      </c>
      <c r="E4" s="27"/>
      <c r="F4" s="10"/>
      <c r="G4" s="115" t="s">
        <v>3</v>
      </c>
      <c r="H4" s="117" t="s">
        <v>1</v>
      </c>
      <c r="I4" s="118"/>
      <c r="J4" s="118"/>
      <c r="K4" s="118"/>
      <c r="L4" s="118"/>
      <c r="M4" s="118"/>
      <c r="N4" s="118"/>
      <c r="O4" s="119"/>
      <c r="Q4" s="115" t="s">
        <v>3</v>
      </c>
      <c r="R4" s="117" t="s">
        <v>1</v>
      </c>
      <c r="S4" s="118"/>
      <c r="T4" s="118"/>
      <c r="U4" s="118"/>
      <c r="V4" s="118"/>
      <c r="W4" s="118"/>
      <c r="X4" s="118"/>
      <c r="Y4" s="119"/>
    </row>
    <row r="5" spans="1:25" s="1" customFormat="1" ht="12.75" customHeight="1">
      <c r="A5" s="3"/>
      <c r="B5" s="33" t="s">
        <v>2</v>
      </c>
      <c r="C5" s="124"/>
      <c r="D5" s="30" t="s">
        <v>26</v>
      </c>
      <c r="E5" s="15"/>
      <c r="F5" s="10"/>
      <c r="G5" s="116"/>
      <c r="H5" s="36" t="s">
        <v>7</v>
      </c>
      <c r="I5" s="37" t="s">
        <v>17</v>
      </c>
      <c r="J5" s="37" t="s">
        <v>18</v>
      </c>
      <c r="K5" s="37" t="s">
        <v>19</v>
      </c>
      <c r="L5" s="37" t="s">
        <v>20</v>
      </c>
      <c r="M5" s="37" t="s">
        <v>21</v>
      </c>
      <c r="N5" s="37" t="s">
        <v>22</v>
      </c>
      <c r="O5" s="37" t="s">
        <v>23</v>
      </c>
      <c r="Q5" s="116"/>
      <c r="R5" s="36" t="s">
        <v>7</v>
      </c>
      <c r="S5" s="37" t="s">
        <v>17</v>
      </c>
      <c r="T5" s="37" t="s">
        <v>18</v>
      </c>
      <c r="U5" s="37" t="s">
        <v>19</v>
      </c>
      <c r="V5" s="37" t="s">
        <v>20</v>
      </c>
      <c r="W5" s="37" t="s">
        <v>21</v>
      </c>
      <c r="X5" s="37" t="s">
        <v>22</v>
      </c>
      <c r="Y5" s="37" t="s">
        <v>23</v>
      </c>
    </row>
    <row r="6" spans="1:25" s="1" customFormat="1" ht="12.75" customHeight="1">
      <c r="A6" s="3"/>
      <c r="B6" s="17">
        <v>200</v>
      </c>
      <c r="C6" s="17">
        <v>0</v>
      </c>
      <c r="D6" s="41">
        <v>0.9486</v>
      </c>
      <c r="E6" s="16"/>
      <c r="F6" s="10"/>
      <c r="G6" s="4">
        <v>200</v>
      </c>
      <c r="H6" s="4">
        <v>0</v>
      </c>
      <c r="I6" s="41">
        <v>0.5959</v>
      </c>
      <c r="J6" s="41">
        <v>0.5959</v>
      </c>
      <c r="K6" s="41">
        <v>0.5959</v>
      </c>
      <c r="L6" s="41">
        <v>0.5959</v>
      </c>
      <c r="M6" s="41">
        <v>0.5959</v>
      </c>
      <c r="N6" s="41">
        <v>0.5959</v>
      </c>
      <c r="O6" s="41">
        <v>0.5959</v>
      </c>
      <c r="Q6" s="4">
        <v>200</v>
      </c>
      <c r="R6" s="4">
        <v>0</v>
      </c>
      <c r="S6" s="41">
        <v>0.1326</v>
      </c>
      <c r="T6" s="41">
        <v>0.1326</v>
      </c>
      <c r="U6" s="41">
        <v>0.1326</v>
      </c>
      <c r="V6" s="41">
        <v>0.1326</v>
      </c>
      <c r="W6" s="41">
        <v>0.1326</v>
      </c>
      <c r="X6" s="41">
        <v>0.1326</v>
      </c>
      <c r="Y6" s="41">
        <v>0.1326</v>
      </c>
    </row>
    <row r="7" spans="1:25" s="1" customFormat="1" ht="12.75" customHeight="1">
      <c r="A7" s="3"/>
      <c r="B7" s="29" t="s">
        <v>9</v>
      </c>
      <c r="C7" s="18">
        <v>30</v>
      </c>
      <c r="D7" s="13">
        <v>0.8215</v>
      </c>
      <c r="E7" s="11"/>
      <c r="F7" s="10"/>
      <c r="G7" s="29" t="s">
        <v>9</v>
      </c>
      <c r="H7" s="6">
        <v>30</v>
      </c>
      <c r="I7" s="42">
        <v>0.5261</v>
      </c>
      <c r="J7" s="42">
        <v>0.5427</v>
      </c>
      <c r="K7" s="42">
        <v>0.5211</v>
      </c>
      <c r="L7" s="42">
        <v>0.5161</v>
      </c>
      <c r="M7" s="42">
        <v>0.5112</v>
      </c>
      <c r="N7" s="42">
        <v>0.5075</v>
      </c>
      <c r="O7" s="42">
        <v>0.5062</v>
      </c>
      <c r="Q7" s="29" t="s">
        <v>9</v>
      </c>
      <c r="R7" s="6">
        <v>30</v>
      </c>
      <c r="S7" s="42">
        <v>0.1193</v>
      </c>
      <c r="T7" s="42">
        <v>0.1187</v>
      </c>
      <c r="U7" s="42">
        <v>0.1171</v>
      </c>
      <c r="V7" s="42">
        <v>0.1149</v>
      </c>
      <c r="W7" s="42">
        <v>0.1126</v>
      </c>
      <c r="X7" s="42">
        <v>0.1109</v>
      </c>
      <c r="Y7" s="42">
        <v>0.1103</v>
      </c>
    </row>
    <row r="8" spans="1:25" s="1" customFormat="1" ht="12.75" customHeight="1">
      <c r="A8" s="3"/>
      <c r="B8" s="19"/>
      <c r="C8" s="18">
        <v>60</v>
      </c>
      <c r="D8" s="13">
        <v>0.4743</v>
      </c>
      <c r="E8" s="11"/>
      <c r="F8" s="10"/>
      <c r="G8" s="38"/>
      <c r="H8" s="6">
        <v>60</v>
      </c>
      <c r="I8" s="42">
        <v>0.3151</v>
      </c>
      <c r="J8" s="42">
        <v>0.3128</v>
      </c>
      <c r="K8" s="42">
        <v>0.3065</v>
      </c>
      <c r="L8" s="42">
        <v>0.298</v>
      </c>
      <c r="M8" s="42">
        <v>0.2894</v>
      </c>
      <c r="N8" s="42">
        <v>0.2831</v>
      </c>
      <c r="O8" s="42">
        <v>0.2808</v>
      </c>
      <c r="Q8" s="38"/>
      <c r="R8" s="6">
        <v>60</v>
      </c>
      <c r="S8" s="42">
        <v>0.0741</v>
      </c>
      <c r="T8" s="42">
        <v>0.073</v>
      </c>
      <c r="U8" s="42">
        <v>0.0701</v>
      </c>
      <c r="V8" s="42">
        <v>0.0663</v>
      </c>
      <c r="W8" s="42">
        <v>0.0624</v>
      </c>
      <c r="X8" s="42">
        <v>0.0596</v>
      </c>
      <c r="Y8" s="42">
        <v>0.0585</v>
      </c>
    </row>
    <row r="9" spans="1:25" s="1" customFormat="1" ht="12.75">
      <c r="A9" s="3"/>
      <c r="B9" s="20"/>
      <c r="C9" s="21">
        <v>90</v>
      </c>
      <c r="D9" s="14">
        <v>0.0118</v>
      </c>
      <c r="E9" s="11"/>
      <c r="F9" s="10"/>
      <c r="G9" s="39"/>
      <c r="H9" s="7">
        <v>90</v>
      </c>
      <c r="I9" s="43">
        <v>0.0202</v>
      </c>
      <c r="J9" s="43">
        <v>0.0183</v>
      </c>
      <c r="K9" s="43">
        <v>0.0139</v>
      </c>
      <c r="L9" s="43">
        <v>0.0081</v>
      </c>
      <c r="M9" s="43">
        <v>0.0053</v>
      </c>
      <c r="N9" s="43">
        <v>0.0013</v>
      </c>
      <c r="O9" s="43">
        <v>0.0003</v>
      </c>
      <c r="Q9" s="39"/>
      <c r="R9" s="7">
        <v>90</v>
      </c>
      <c r="S9" s="43">
        <v>0.0089</v>
      </c>
      <c r="T9" s="43">
        <v>0.0073</v>
      </c>
      <c r="U9" s="43">
        <v>0.006</v>
      </c>
      <c r="V9" s="43">
        <v>0.003</v>
      </c>
      <c r="W9" s="43">
        <v>0.0015</v>
      </c>
      <c r="X9" s="43">
        <v>0.0001</v>
      </c>
      <c r="Y9" s="43">
        <v>0</v>
      </c>
    </row>
    <row r="10" spans="1:25" s="1" customFormat="1" ht="12.75">
      <c r="A10" s="3"/>
      <c r="B10" s="17">
        <v>500</v>
      </c>
      <c r="C10" s="17">
        <v>0</v>
      </c>
      <c r="D10" s="12">
        <v>0.8587</v>
      </c>
      <c r="E10" s="11"/>
      <c r="F10" s="10"/>
      <c r="G10" s="4">
        <v>500</v>
      </c>
      <c r="H10" s="4">
        <v>0</v>
      </c>
      <c r="I10" s="41">
        <v>0.5068</v>
      </c>
      <c r="J10" s="41">
        <v>0.5068</v>
      </c>
      <c r="K10" s="41">
        <v>0.5068</v>
      </c>
      <c r="L10" s="41">
        <v>0.5068</v>
      </c>
      <c r="M10" s="41">
        <v>0.5068</v>
      </c>
      <c r="N10" s="41">
        <v>0.5068</v>
      </c>
      <c r="O10" s="41">
        <v>0.5068</v>
      </c>
      <c r="Q10" s="4">
        <v>500</v>
      </c>
      <c r="R10" s="4">
        <v>0</v>
      </c>
      <c r="S10" s="41">
        <v>0.0836</v>
      </c>
      <c r="T10" s="41">
        <v>0.0836</v>
      </c>
      <c r="U10" s="41">
        <v>0.0836</v>
      </c>
      <c r="V10" s="41">
        <v>0.0836</v>
      </c>
      <c r="W10" s="41">
        <v>0.0836</v>
      </c>
      <c r="X10" s="41">
        <v>0.0836</v>
      </c>
      <c r="Y10" s="41">
        <v>0.0836</v>
      </c>
    </row>
    <row r="11" spans="1:25" s="1" customFormat="1" ht="12.75">
      <c r="A11" s="3"/>
      <c r="B11" s="29" t="s">
        <v>10</v>
      </c>
      <c r="C11" s="18">
        <v>30</v>
      </c>
      <c r="D11" s="13">
        <v>0.7437</v>
      </c>
      <c r="E11" s="11"/>
      <c r="F11" s="10"/>
      <c r="G11" s="29" t="s">
        <v>10</v>
      </c>
      <c r="H11" s="6">
        <v>30</v>
      </c>
      <c r="I11" s="42">
        <v>0.455</v>
      </c>
      <c r="J11" s="42">
        <v>0.4529</v>
      </c>
      <c r="K11" s="42">
        <v>0.447</v>
      </c>
      <c r="L11" s="42">
        <v>0.4389</v>
      </c>
      <c r="M11" s="42">
        <v>0.4309</v>
      </c>
      <c r="N11" s="42">
        <v>0.425</v>
      </c>
      <c r="O11" s="42">
        <v>0.4229</v>
      </c>
      <c r="Q11" s="29" t="s">
        <v>10</v>
      </c>
      <c r="R11" s="6">
        <v>30</v>
      </c>
      <c r="S11" s="42">
        <v>0.0079</v>
      </c>
      <c r="T11" s="42">
        <v>0.0771</v>
      </c>
      <c r="U11" s="42">
        <v>0.0752</v>
      </c>
      <c r="V11" s="42">
        <v>0.0724</v>
      </c>
      <c r="W11" s="42">
        <v>0.0697</v>
      </c>
      <c r="X11" s="42">
        <v>0.0676</v>
      </c>
      <c r="Y11" s="42">
        <v>0.0669</v>
      </c>
    </row>
    <row r="12" spans="1:25" s="1" customFormat="1" ht="12.75" customHeight="1">
      <c r="A12" s="3"/>
      <c r="B12" s="19"/>
      <c r="C12" s="18">
        <v>60</v>
      </c>
      <c r="D12" s="13">
        <v>0.4293</v>
      </c>
      <c r="E12" s="11"/>
      <c r="F12" s="10"/>
      <c r="G12" s="38"/>
      <c r="H12" s="6">
        <v>60</v>
      </c>
      <c r="I12" s="42">
        <v>0.2813</v>
      </c>
      <c r="J12" s="42">
        <v>0.2776</v>
      </c>
      <c r="K12" s="42">
        <v>0.2674</v>
      </c>
      <c r="L12" s="42">
        <v>0.2534</v>
      </c>
      <c r="M12" s="42">
        <v>0.2395</v>
      </c>
      <c r="N12" s="42">
        <v>0.2293</v>
      </c>
      <c r="O12" s="42">
        <v>0.2255</v>
      </c>
      <c r="Q12" s="38"/>
      <c r="R12" s="6">
        <v>60</v>
      </c>
      <c r="S12" s="42">
        <v>0.0513</v>
      </c>
      <c r="T12" s="42">
        <v>0.05</v>
      </c>
      <c r="U12" s="42">
        <v>0.0465</v>
      </c>
      <c r="V12" s="42">
        <v>0.0418</v>
      </c>
      <c r="W12" s="42">
        <v>0.0371</v>
      </c>
      <c r="X12" s="42">
        <v>0.0336</v>
      </c>
      <c r="Y12" s="42">
        <v>0.0323</v>
      </c>
    </row>
    <row r="13" spans="1:25" s="1" customFormat="1" ht="12.75">
      <c r="A13" s="3"/>
      <c r="B13" s="20"/>
      <c r="C13" s="21">
        <v>90</v>
      </c>
      <c r="D13" s="14">
        <v>0.0232</v>
      </c>
      <c r="E13" s="11"/>
      <c r="F13" s="10"/>
      <c r="G13" s="39"/>
      <c r="H13" s="7">
        <v>90</v>
      </c>
      <c r="I13" s="43">
        <v>0.0331</v>
      </c>
      <c r="J13" s="43">
        <v>0.0303</v>
      </c>
      <c r="K13" s="43">
        <v>0.0234</v>
      </c>
      <c r="L13" s="43">
        <v>0.0138</v>
      </c>
      <c r="M13" s="43">
        <v>0.0071</v>
      </c>
      <c r="N13" s="43">
        <v>0.0024</v>
      </c>
      <c r="O13" s="43">
        <v>0.0009</v>
      </c>
      <c r="Q13" s="39"/>
      <c r="R13" s="7">
        <v>90</v>
      </c>
      <c r="S13" s="43">
        <v>0.0109</v>
      </c>
      <c r="T13" s="43">
        <v>0.0094</v>
      </c>
      <c r="U13" s="43">
        <v>0.0055</v>
      </c>
      <c r="V13" s="43">
        <v>0.003</v>
      </c>
      <c r="W13" s="43">
        <v>0.0009</v>
      </c>
      <c r="X13" s="43">
        <v>0</v>
      </c>
      <c r="Y13" s="43">
        <v>0</v>
      </c>
    </row>
    <row r="14" spans="1:25" s="1" customFormat="1" ht="12.75">
      <c r="A14" s="3"/>
      <c r="B14" s="17">
        <v>1000</v>
      </c>
      <c r="C14" s="17">
        <v>0</v>
      </c>
      <c r="D14" s="12">
        <v>0.7381</v>
      </c>
      <c r="E14" s="11"/>
      <c r="F14" s="10"/>
      <c r="G14" s="4">
        <v>1000</v>
      </c>
      <c r="H14" s="4">
        <v>0</v>
      </c>
      <c r="I14" s="41">
        <v>0.4092</v>
      </c>
      <c r="J14" s="41">
        <v>0.4092</v>
      </c>
      <c r="K14" s="41">
        <v>0.4092</v>
      </c>
      <c r="L14" s="41">
        <v>0.4092</v>
      </c>
      <c r="M14" s="41">
        <v>0.4092</v>
      </c>
      <c r="N14" s="41">
        <v>0.4092</v>
      </c>
      <c r="O14" s="41">
        <v>0.4092</v>
      </c>
      <c r="Q14" s="4">
        <v>1000</v>
      </c>
      <c r="R14" s="4">
        <v>0</v>
      </c>
      <c r="S14" s="41">
        <v>0.0444</v>
      </c>
      <c r="T14" s="41">
        <v>0.0444</v>
      </c>
      <c r="U14" s="41">
        <v>0.0444</v>
      </c>
      <c r="V14" s="41">
        <v>0.0444</v>
      </c>
      <c r="W14" s="41">
        <v>0.0444</v>
      </c>
      <c r="X14" s="41">
        <v>0.0444</v>
      </c>
      <c r="Y14" s="41">
        <v>0.0444</v>
      </c>
    </row>
    <row r="15" spans="1:25" s="1" customFormat="1" ht="12.75">
      <c r="A15" s="3"/>
      <c r="B15" s="29" t="s">
        <v>11</v>
      </c>
      <c r="C15" s="18">
        <v>30</v>
      </c>
      <c r="D15" s="13">
        <v>0.6392</v>
      </c>
      <c r="E15" s="11"/>
      <c r="F15" s="10"/>
      <c r="G15" s="29" t="s">
        <v>11</v>
      </c>
      <c r="H15" s="6">
        <v>30</v>
      </c>
      <c r="I15" s="42">
        <v>0.3746</v>
      </c>
      <c r="J15" s="42">
        <v>0.3719</v>
      </c>
      <c r="K15" s="42">
        <v>0.3644</v>
      </c>
      <c r="L15" s="42">
        <v>0.3544</v>
      </c>
      <c r="M15" s="42">
        <v>0.3443</v>
      </c>
      <c r="N15" s="42">
        <v>0.3369</v>
      </c>
      <c r="O15" s="42">
        <v>0.3342</v>
      </c>
      <c r="Q15" s="29" t="s">
        <v>11</v>
      </c>
      <c r="R15" s="6">
        <v>30</v>
      </c>
      <c r="S15" s="42">
        <v>0.0434</v>
      </c>
      <c r="T15" s="42">
        <v>0.0428</v>
      </c>
      <c r="U15" s="42">
        <v>0.0409</v>
      </c>
      <c r="V15" s="42">
        <v>0.0385</v>
      </c>
      <c r="W15" s="42">
        <v>0.036</v>
      </c>
      <c r="X15" s="42">
        <v>0.0343</v>
      </c>
      <c r="Y15" s="42">
        <v>0.0335</v>
      </c>
    </row>
    <row r="16" spans="1:25" s="1" customFormat="1" ht="12.75" customHeight="1">
      <c r="A16" s="3"/>
      <c r="B16" s="19"/>
      <c r="C16" s="18">
        <v>60</v>
      </c>
      <c r="D16" s="13">
        <v>0.3688</v>
      </c>
      <c r="E16" s="11"/>
      <c r="F16" s="10"/>
      <c r="G16" s="38"/>
      <c r="H16" s="6">
        <v>60</v>
      </c>
      <c r="I16" s="42">
        <v>0.2417</v>
      </c>
      <c r="J16" s="42">
        <v>0.2354</v>
      </c>
      <c r="K16" s="42">
        <v>0.222</v>
      </c>
      <c r="L16" s="42">
        <v>0.2045</v>
      </c>
      <c r="M16" s="42">
        <v>0.1519</v>
      </c>
      <c r="N16" s="42">
        <v>0.1742</v>
      </c>
      <c r="O16" s="42">
        <v>0.1696</v>
      </c>
      <c r="Q16" s="38"/>
      <c r="R16" s="6">
        <v>60</v>
      </c>
      <c r="S16" s="42">
        <v>0.0307</v>
      </c>
      <c r="T16" s="42">
        <v>0.0296</v>
      </c>
      <c r="U16" s="42">
        <v>0.0264</v>
      </c>
      <c r="V16" s="42">
        <v>0.0222</v>
      </c>
      <c r="W16" s="42">
        <v>0.0179</v>
      </c>
      <c r="X16" s="42">
        <v>0.0148</v>
      </c>
      <c r="Y16" s="42">
        <v>0.0135</v>
      </c>
    </row>
    <row r="17" spans="1:25" s="1" customFormat="1" ht="12.75">
      <c r="A17" s="3"/>
      <c r="B17" s="20"/>
      <c r="C17" s="21">
        <v>90</v>
      </c>
      <c r="D17" s="14">
        <v>0.0344</v>
      </c>
      <c r="E17" s="11"/>
      <c r="F17" s="10"/>
      <c r="G17" s="39"/>
      <c r="H17" s="7">
        <v>90</v>
      </c>
      <c r="I17" s="43">
        <v>0.0424</v>
      </c>
      <c r="J17" s="43">
        <v>0.039</v>
      </c>
      <c r="K17" s="43">
        <v>0.031</v>
      </c>
      <c r="L17" s="43">
        <v>0.0188</v>
      </c>
      <c r="M17" s="43">
        <v>0.0113</v>
      </c>
      <c r="N17" s="43">
        <v>0.0039</v>
      </c>
      <c r="O17" s="43">
        <v>0.0018</v>
      </c>
      <c r="Q17" s="39"/>
      <c r="R17" s="7">
        <v>90</v>
      </c>
      <c r="S17" s="43">
        <v>0.0098</v>
      </c>
      <c r="T17" s="43">
        <v>0.0084</v>
      </c>
      <c r="U17" s="43">
        <v>0.0051</v>
      </c>
      <c r="V17" s="43">
        <v>0.0022</v>
      </c>
      <c r="W17" s="43">
        <v>0.0004</v>
      </c>
      <c r="X17" s="43">
        <v>0</v>
      </c>
      <c r="Y17" s="43">
        <v>0</v>
      </c>
    </row>
    <row r="18" spans="1:25" s="1" customFormat="1" ht="12.75">
      <c r="A18" s="3"/>
      <c r="B18" s="17">
        <v>1500</v>
      </c>
      <c r="C18" s="17">
        <v>0</v>
      </c>
      <c r="D18" s="12">
        <v>0.6423</v>
      </c>
      <c r="E18" s="11"/>
      <c r="F18" s="10"/>
      <c r="G18" s="4">
        <v>1500</v>
      </c>
      <c r="H18" s="4">
        <v>0</v>
      </c>
      <c r="I18" s="41">
        <v>0.3431</v>
      </c>
      <c r="J18" s="41">
        <v>0.3431</v>
      </c>
      <c r="K18" s="41">
        <v>0.3431</v>
      </c>
      <c r="L18" s="41">
        <v>0.3431</v>
      </c>
      <c r="M18" s="41">
        <v>0.3431</v>
      </c>
      <c r="N18" s="41">
        <v>0.3431</v>
      </c>
      <c r="O18" s="41">
        <v>0.3431</v>
      </c>
      <c r="Q18" s="4">
        <v>1500</v>
      </c>
      <c r="R18" s="4">
        <v>0</v>
      </c>
      <c r="S18" s="41">
        <v>0.0258</v>
      </c>
      <c r="T18" s="41">
        <v>0.0258</v>
      </c>
      <c r="U18" s="41">
        <v>0.0258</v>
      </c>
      <c r="V18" s="41">
        <v>0.0258</v>
      </c>
      <c r="W18" s="41">
        <v>0.0258</v>
      </c>
      <c r="X18" s="41">
        <v>0.0258</v>
      </c>
      <c r="Y18" s="41">
        <v>0.0258</v>
      </c>
    </row>
    <row r="19" spans="1:25" s="1" customFormat="1" ht="12.75">
      <c r="A19" s="3"/>
      <c r="B19" s="29" t="s">
        <v>12</v>
      </c>
      <c r="C19" s="18">
        <v>30</v>
      </c>
      <c r="D19" s="13">
        <v>0.5563</v>
      </c>
      <c r="E19" s="11"/>
      <c r="F19" s="10"/>
      <c r="G19" s="29" t="s">
        <v>12</v>
      </c>
      <c r="H19" s="6">
        <v>30</v>
      </c>
      <c r="I19" s="42">
        <v>0.3181</v>
      </c>
      <c r="J19" s="42">
        <v>0.3153</v>
      </c>
      <c r="K19" s="42">
        <v>0.3076</v>
      </c>
      <c r="L19" s="42">
        <v>0.2972</v>
      </c>
      <c r="M19" s="42">
        <v>0.2866</v>
      </c>
      <c r="N19" s="42">
        <v>0.2789</v>
      </c>
      <c r="O19" s="42">
        <v>0.2761</v>
      </c>
      <c r="Q19" s="29" t="s">
        <v>12</v>
      </c>
      <c r="R19" s="6">
        <v>30</v>
      </c>
      <c r="S19" s="42">
        <v>0.0261</v>
      </c>
      <c r="T19" s="42">
        <v>0.0257</v>
      </c>
      <c r="U19" s="42">
        <v>0.0242</v>
      </c>
      <c r="V19" s="42">
        <v>0.0223</v>
      </c>
      <c r="W19" s="42">
        <v>0.0204</v>
      </c>
      <c r="X19" s="42">
        <v>0.019</v>
      </c>
      <c r="Y19" s="42">
        <v>0.0185</v>
      </c>
    </row>
    <row r="20" spans="1:25" s="1" customFormat="1" ht="12.75" customHeight="1">
      <c r="A20" s="3"/>
      <c r="B20" s="19"/>
      <c r="C20" s="18">
        <v>60</v>
      </c>
      <c r="D20" s="13">
        <v>0.3203</v>
      </c>
      <c r="E20" s="11"/>
      <c r="F20" s="10"/>
      <c r="G20" s="38"/>
      <c r="H20" s="6">
        <v>60</v>
      </c>
      <c r="I20" s="42">
        <v>0.2098</v>
      </c>
      <c r="J20" s="42">
        <v>0.2037</v>
      </c>
      <c r="K20" s="42">
        <v>0.1901</v>
      </c>
      <c r="L20" s="42">
        <v>0.1712</v>
      </c>
      <c r="M20" s="42">
        <v>0.1323</v>
      </c>
      <c r="N20" s="42">
        <v>0.1399</v>
      </c>
      <c r="O20" s="42">
        <v>0.1351</v>
      </c>
      <c r="Q20" s="38"/>
      <c r="R20" s="6">
        <v>60</v>
      </c>
      <c r="S20" s="42">
        <v>0.0195</v>
      </c>
      <c r="T20" s="42">
        <v>0.0186</v>
      </c>
      <c r="U20" s="42">
        <v>0.0161</v>
      </c>
      <c r="V20" s="42">
        <v>0.0128</v>
      </c>
      <c r="W20" s="42">
        <v>0.0095</v>
      </c>
      <c r="X20" s="42">
        <v>0.0072</v>
      </c>
      <c r="Y20" s="42">
        <v>0.0063</v>
      </c>
    </row>
    <row r="21" spans="1:25" s="1" customFormat="1" ht="12.75">
      <c r="A21" s="3"/>
      <c r="B21" s="20"/>
      <c r="C21" s="21">
        <v>90</v>
      </c>
      <c r="D21" s="14">
        <v>0.04</v>
      </c>
      <c r="E21" s="11"/>
      <c r="F21" s="10"/>
      <c r="G21" s="39"/>
      <c r="H21" s="7">
        <v>90</v>
      </c>
      <c r="I21" s="43">
        <v>0.0449</v>
      </c>
      <c r="J21" s="43">
        <v>0.0415</v>
      </c>
      <c r="K21" s="43">
        <v>0.0336</v>
      </c>
      <c r="L21" s="43">
        <v>0.0211</v>
      </c>
      <c r="M21" s="43">
        <v>0.0123</v>
      </c>
      <c r="N21" s="43">
        <v>0.0054</v>
      </c>
      <c r="O21" s="43">
        <v>0.0026</v>
      </c>
      <c r="Q21" s="39"/>
      <c r="R21" s="7">
        <v>90</v>
      </c>
      <c r="S21" s="43">
        <v>0.0076</v>
      </c>
      <c r="T21" s="43">
        <v>0.0065</v>
      </c>
      <c r="U21" s="43">
        <v>0.004</v>
      </c>
      <c r="V21" s="43">
        <v>0.0015</v>
      </c>
      <c r="W21" s="43">
        <v>0.0002</v>
      </c>
      <c r="X21" s="43">
        <v>0</v>
      </c>
      <c r="Y21" s="43">
        <v>0</v>
      </c>
    </row>
    <row r="22" spans="1:25" s="1" customFormat="1" ht="12.75">
      <c r="A22" s="3"/>
      <c r="B22" s="17">
        <v>2000</v>
      </c>
      <c r="C22" s="17">
        <v>0</v>
      </c>
      <c r="D22" s="12">
        <v>0.5662</v>
      </c>
      <c r="E22" s="11"/>
      <c r="F22" s="10"/>
      <c r="G22" s="4">
        <v>2000</v>
      </c>
      <c r="H22" s="4">
        <v>0</v>
      </c>
      <c r="I22" s="41">
        <v>0.2947</v>
      </c>
      <c r="J22" s="41">
        <v>0.2947</v>
      </c>
      <c r="K22" s="41">
        <v>0.2947</v>
      </c>
      <c r="L22" s="41">
        <v>0.2947</v>
      </c>
      <c r="M22" s="41">
        <v>0.2947</v>
      </c>
      <c r="N22" s="41">
        <v>0.2947</v>
      </c>
      <c r="O22" s="41">
        <v>0.2947</v>
      </c>
      <c r="Q22" s="4">
        <v>2000</v>
      </c>
      <c r="R22" s="4">
        <v>0</v>
      </c>
      <c r="S22" s="41">
        <v>0.0151</v>
      </c>
      <c r="T22" s="41">
        <v>0.0151</v>
      </c>
      <c r="U22" s="41">
        <v>0.0151</v>
      </c>
      <c r="V22" s="41">
        <v>0.0151</v>
      </c>
      <c r="W22" s="41">
        <v>0.0151</v>
      </c>
      <c r="X22" s="41">
        <v>0.0151</v>
      </c>
      <c r="Y22" s="41">
        <v>0.0151</v>
      </c>
    </row>
    <row r="23" spans="1:25" s="1" customFormat="1" ht="12.75">
      <c r="A23" s="3"/>
      <c r="B23" s="29" t="s">
        <v>13</v>
      </c>
      <c r="C23" s="18">
        <v>30</v>
      </c>
      <c r="D23" s="13">
        <v>0.4904</v>
      </c>
      <c r="E23" s="11"/>
      <c r="F23" s="10"/>
      <c r="G23" s="29" t="s">
        <v>13</v>
      </c>
      <c r="H23" s="6">
        <v>30</v>
      </c>
      <c r="I23" s="42">
        <v>0.2758</v>
      </c>
      <c r="J23" s="42">
        <v>0.2731</v>
      </c>
      <c r="K23" s="42">
        <v>0.2655</v>
      </c>
      <c r="L23" s="42">
        <v>0.2552</v>
      </c>
      <c r="M23" s="42">
        <v>0.2448</v>
      </c>
      <c r="N23" s="42">
        <v>0.2373</v>
      </c>
      <c r="O23" s="42">
        <v>0.2345</v>
      </c>
      <c r="Q23" s="29" t="s">
        <v>13</v>
      </c>
      <c r="R23" s="6">
        <v>30</v>
      </c>
      <c r="S23" s="42">
        <v>0.0159</v>
      </c>
      <c r="T23" s="42">
        <v>0.0156</v>
      </c>
      <c r="U23" s="42">
        <v>0.0145</v>
      </c>
      <c r="V23" s="42">
        <v>0.0131</v>
      </c>
      <c r="W23" s="42">
        <v>0.0116</v>
      </c>
      <c r="X23" s="42">
        <v>0.0106</v>
      </c>
      <c r="Y23" s="42">
        <v>0.0102</v>
      </c>
    </row>
    <row r="24" spans="1:25" s="1" customFormat="1" ht="12.75" customHeight="1">
      <c r="A24" s="3"/>
      <c r="B24" s="19"/>
      <c r="C24" s="18">
        <v>60</v>
      </c>
      <c r="D24" s="13">
        <v>0.2818</v>
      </c>
      <c r="E24" s="11"/>
      <c r="F24" s="10"/>
      <c r="G24" s="38"/>
      <c r="H24" s="6">
        <v>60</v>
      </c>
      <c r="I24" s="42">
        <v>0.1842</v>
      </c>
      <c r="J24" s="42">
        <v>0.1789</v>
      </c>
      <c r="K24" s="42">
        <v>0.1661</v>
      </c>
      <c r="L24" s="42">
        <v>0.1468</v>
      </c>
      <c r="M24" s="42">
        <v>0.1292</v>
      </c>
      <c r="N24" s="42">
        <v>0.1163</v>
      </c>
      <c r="O24" s="42">
        <v>0.1137</v>
      </c>
      <c r="Q24" s="38"/>
      <c r="R24" s="6">
        <v>60</v>
      </c>
      <c r="S24" s="42">
        <v>0.0125</v>
      </c>
      <c r="T24" s="42">
        <v>0.0118</v>
      </c>
      <c r="U24" s="42">
        <v>0.01</v>
      </c>
      <c r="V24" s="42">
        <v>0.0074</v>
      </c>
      <c r="W24" s="42">
        <v>0.005</v>
      </c>
      <c r="X24" s="42">
        <v>0.0033</v>
      </c>
      <c r="Y24" s="42">
        <v>0.0028</v>
      </c>
    </row>
    <row r="25" spans="1:25" s="1" customFormat="1" ht="12.75">
      <c r="A25" s="3"/>
      <c r="B25" s="20"/>
      <c r="C25" s="21">
        <v>90</v>
      </c>
      <c r="D25" s="14">
        <v>0.0426</v>
      </c>
      <c r="E25" s="11"/>
      <c r="F25" s="10"/>
      <c r="G25" s="39"/>
      <c r="H25" s="7">
        <v>90</v>
      </c>
      <c r="I25" s="43">
        <v>0.0449</v>
      </c>
      <c r="J25" s="43">
        <v>0.0417</v>
      </c>
      <c r="K25" s="43">
        <v>0.0341</v>
      </c>
      <c r="L25" s="43">
        <v>0.022</v>
      </c>
      <c r="M25" s="43">
        <v>0.0123</v>
      </c>
      <c r="N25" s="43">
        <v>0.0066</v>
      </c>
      <c r="O25" s="43">
        <v>0.0033</v>
      </c>
      <c r="Q25" s="39"/>
      <c r="R25" s="7">
        <v>90</v>
      </c>
      <c r="S25" s="43">
        <v>0.0057</v>
      </c>
      <c r="T25" s="43">
        <v>0.0048</v>
      </c>
      <c r="U25" s="43">
        <v>0.003</v>
      </c>
      <c r="V25" s="43">
        <v>0.0011</v>
      </c>
      <c r="W25" s="43">
        <v>0.0001</v>
      </c>
      <c r="X25" s="43">
        <v>0</v>
      </c>
      <c r="Y25" s="43">
        <v>0</v>
      </c>
    </row>
    <row r="26" spans="1:25" s="1" customFormat="1" ht="12.75">
      <c r="A26" s="3"/>
      <c r="B26" s="22" t="s">
        <v>4</v>
      </c>
      <c r="C26" s="17">
        <v>0</v>
      </c>
      <c r="D26" s="12">
        <v>0.0175</v>
      </c>
      <c r="E26" s="11"/>
      <c r="F26" s="10"/>
      <c r="G26" s="8" t="s">
        <v>5</v>
      </c>
      <c r="H26" s="4">
        <v>0</v>
      </c>
      <c r="I26" s="41">
        <v>0.0088</v>
      </c>
      <c r="J26" s="41">
        <v>0.0088</v>
      </c>
      <c r="K26" s="41">
        <v>0.0088</v>
      </c>
      <c r="L26" s="41">
        <v>0.0088</v>
      </c>
      <c r="M26" s="41">
        <v>0.0088</v>
      </c>
      <c r="N26" s="41">
        <v>0.0088</v>
      </c>
      <c r="O26" s="41">
        <v>0.0088</v>
      </c>
      <c r="Q26" s="8" t="s">
        <v>4</v>
      </c>
      <c r="R26" s="4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s="1" customFormat="1" ht="12.75" customHeight="1">
      <c r="A27" s="3"/>
      <c r="B27" s="29" t="s">
        <v>14</v>
      </c>
      <c r="C27" s="18">
        <v>30</v>
      </c>
      <c r="D27" s="13">
        <v>0.0151</v>
      </c>
      <c r="E27" s="11"/>
      <c r="F27" s="10"/>
      <c r="G27" s="29" t="s">
        <v>14</v>
      </c>
      <c r="H27" s="6">
        <v>30</v>
      </c>
      <c r="I27" s="42">
        <v>0.0079</v>
      </c>
      <c r="J27" s="42">
        <v>0.0078</v>
      </c>
      <c r="K27" s="42">
        <v>0.0077</v>
      </c>
      <c r="L27" s="42">
        <v>0.0075</v>
      </c>
      <c r="M27" s="42">
        <v>0.0073</v>
      </c>
      <c r="N27" s="42">
        <v>0.0072</v>
      </c>
      <c r="O27" s="42">
        <v>0.0072</v>
      </c>
      <c r="Q27" s="29" t="s">
        <v>14</v>
      </c>
      <c r="R27" s="6">
        <v>30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</row>
    <row r="28" spans="1:25" s="1" customFormat="1" ht="12.75" customHeight="1">
      <c r="A28" s="3"/>
      <c r="B28" s="19"/>
      <c r="C28" s="18">
        <v>60</v>
      </c>
      <c r="D28" s="13">
        <v>0.0099</v>
      </c>
      <c r="E28" s="11"/>
      <c r="F28" s="10"/>
      <c r="G28" s="38"/>
      <c r="H28" s="6">
        <v>60</v>
      </c>
      <c r="I28" s="42">
        <v>0.0053</v>
      </c>
      <c r="J28" s="42">
        <v>0.0053</v>
      </c>
      <c r="K28" s="42">
        <v>0.0051</v>
      </c>
      <c r="L28" s="42">
        <v>0.0049</v>
      </c>
      <c r="M28" s="42">
        <v>0.0047</v>
      </c>
      <c r="N28" s="42">
        <v>0.0044</v>
      </c>
      <c r="O28" s="42">
        <v>0.0044</v>
      </c>
      <c r="Q28" s="38"/>
      <c r="R28" s="6">
        <v>60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</row>
    <row r="29" spans="1:25" s="1" customFormat="1" ht="12.75">
      <c r="A29" s="3"/>
      <c r="B29" s="20"/>
      <c r="C29" s="21">
        <v>90</v>
      </c>
      <c r="D29" s="14">
        <v>0.0046</v>
      </c>
      <c r="E29" s="11"/>
      <c r="F29" s="10"/>
      <c r="G29" s="40"/>
      <c r="H29" s="7">
        <v>90</v>
      </c>
      <c r="I29" s="43">
        <v>0.0026</v>
      </c>
      <c r="J29" s="43">
        <v>0.0026</v>
      </c>
      <c r="K29" s="43">
        <v>0.0024</v>
      </c>
      <c r="L29" s="43">
        <v>0.0022</v>
      </c>
      <c r="M29" s="43">
        <v>0.0021</v>
      </c>
      <c r="N29" s="43">
        <v>0.0019</v>
      </c>
      <c r="O29" s="43">
        <v>0.0019</v>
      </c>
      <c r="Q29" s="40"/>
      <c r="R29" s="7">
        <v>90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</row>
    <row r="30" spans="1:18" s="1" customFormat="1" ht="12.75">
      <c r="A30" s="24"/>
      <c r="B30" s="25"/>
      <c r="E30" s="26"/>
      <c r="F30" s="35"/>
      <c r="G30" s="9"/>
      <c r="H30" s="25"/>
      <c r="Q30" s="9"/>
      <c r="R30" s="25"/>
    </row>
    <row r="31" spans="1:25" s="1" customFormat="1" ht="12.75" customHeight="1">
      <c r="A31" s="23"/>
      <c r="B31" s="125" t="s">
        <v>32</v>
      </c>
      <c r="C31" s="125"/>
      <c r="D31" s="125"/>
      <c r="E31" s="28"/>
      <c r="F31" s="28"/>
      <c r="G31" s="121" t="s">
        <v>24</v>
      </c>
      <c r="H31" s="121"/>
      <c r="I31" s="121"/>
      <c r="J31" s="121"/>
      <c r="K31" s="121"/>
      <c r="L31" s="121"/>
      <c r="M31" s="121"/>
      <c r="N31" s="121"/>
      <c r="O31" s="121"/>
      <c r="P31" s="23"/>
      <c r="Q31" s="114" t="s">
        <v>28</v>
      </c>
      <c r="R31" s="114"/>
      <c r="S31" s="114"/>
      <c r="T31" s="114"/>
      <c r="U31" s="114"/>
      <c r="V31" s="114"/>
      <c r="W31" s="114"/>
      <c r="X31" s="114"/>
      <c r="Y31" s="114"/>
    </row>
    <row r="32" spans="2:25" s="1" customFormat="1" ht="12.75" customHeight="1">
      <c r="B32" s="32" t="s">
        <v>31</v>
      </c>
      <c r="C32" s="31" t="s">
        <v>29</v>
      </c>
      <c r="D32" s="59" t="s">
        <v>30</v>
      </c>
      <c r="E32" s="47"/>
      <c r="F32" s="122"/>
      <c r="G32" s="115" t="s">
        <v>6</v>
      </c>
      <c r="H32" s="117" t="s">
        <v>1</v>
      </c>
      <c r="I32" s="118"/>
      <c r="J32" s="118"/>
      <c r="K32" s="118"/>
      <c r="L32" s="118"/>
      <c r="M32" s="118"/>
      <c r="N32" s="118"/>
      <c r="O32" s="119"/>
      <c r="Q32" s="115" t="s">
        <v>3</v>
      </c>
      <c r="R32" s="117" t="s">
        <v>1</v>
      </c>
      <c r="S32" s="118"/>
      <c r="T32" s="118"/>
      <c r="U32" s="118"/>
      <c r="V32" s="118"/>
      <c r="W32" s="118"/>
      <c r="X32" s="118"/>
      <c r="Y32" s="119"/>
    </row>
    <row r="33" spans="2:25" s="1" customFormat="1" ht="12.75" customHeight="1">
      <c r="B33" s="4">
        <v>200</v>
      </c>
      <c r="C33" s="46">
        <v>0</v>
      </c>
      <c r="D33" s="41">
        <v>0.9401</v>
      </c>
      <c r="E33" s="23"/>
      <c r="F33" s="122"/>
      <c r="G33" s="116"/>
      <c r="H33" s="36" t="s">
        <v>7</v>
      </c>
      <c r="I33" s="37" t="s">
        <v>17</v>
      </c>
      <c r="J33" s="37" t="s">
        <v>18</v>
      </c>
      <c r="K33" s="37" t="s">
        <v>19</v>
      </c>
      <c r="L33" s="37" t="s">
        <v>20</v>
      </c>
      <c r="M33" s="37" t="s">
        <v>21</v>
      </c>
      <c r="N33" s="37" t="s">
        <v>22</v>
      </c>
      <c r="O33" s="37" t="s">
        <v>23</v>
      </c>
      <c r="Q33" s="116"/>
      <c r="R33" s="36" t="s">
        <v>7</v>
      </c>
      <c r="S33" s="37" t="s">
        <v>17</v>
      </c>
      <c r="T33" s="37" t="s">
        <v>18</v>
      </c>
      <c r="U33" s="37" t="s">
        <v>19</v>
      </c>
      <c r="V33" s="37" t="s">
        <v>20</v>
      </c>
      <c r="W33" s="37" t="s">
        <v>21</v>
      </c>
      <c r="X33" s="37" t="s">
        <v>22</v>
      </c>
      <c r="Y33" s="37" t="s">
        <v>23</v>
      </c>
    </row>
    <row r="34" spans="2:25" s="1" customFormat="1" ht="12.75">
      <c r="B34" s="56" t="s">
        <v>9</v>
      </c>
      <c r="C34" s="54">
        <v>30</v>
      </c>
      <c r="D34" s="48">
        <v>0.8284</v>
      </c>
      <c r="E34" s="23"/>
      <c r="F34" s="10"/>
      <c r="G34" s="4">
        <v>200</v>
      </c>
      <c r="H34" s="4">
        <v>0</v>
      </c>
      <c r="I34" s="41">
        <v>0.3511</v>
      </c>
      <c r="J34" s="41">
        <v>0.3511</v>
      </c>
      <c r="K34" s="41">
        <v>0.3511</v>
      </c>
      <c r="L34" s="41">
        <v>0.3511</v>
      </c>
      <c r="M34" s="41">
        <v>0.3511</v>
      </c>
      <c r="N34" s="41">
        <v>0.3511</v>
      </c>
      <c r="O34" s="41">
        <v>0.3511</v>
      </c>
      <c r="Q34" s="4">
        <v>200</v>
      </c>
      <c r="R34" s="4">
        <v>0</v>
      </c>
      <c r="S34" s="41">
        <v>0.0139</v>
      </c>
      <c r="T34" s="41">
        <v>0.0139</v>
      </c>
      <c r="U34" s="41">
        <v>0.0139</v>
      </c>
      <c r="V34" s="41">
        <v>0.0139</v>
      </c>
      <c r="W34" s="41">
        <v>0.0139</v>
      </c>
      <c r="X34" s="41">
        <v>0.0139</v>
      </c>
      <c r="Y34" s="41">
        <v>0.0139</v>
      </c>
    </row>
    <row r="35" spans="2:25" s="1" customFormat="1" ht="12.75">
      <c r="B35" s="38"/>
      <c r="C35" s="54">
        <v>60</v>
      </c>
      <c r="D35" s="48">
        <v>0.6026</v>
      </c>
      <c r="E35" s="23"/>
      <c r="F35" s="10"/>
      <c r="G35" s="29" t="s">
        <v>9</v>
      </c>
      <c r="H35" s="6">
        <v>30</v>
      </c>
      <c r="I35" s="42">
        <v>0.3124</v>
      </c>
      <c r="J35" s="42">
        <v>0.3112</v>
      </c>
      <c r="K35" s="42">
        <v>0.3081</v>
      </c>
      <c r="L35" s="42">
        <v>0.304</v>
      </c>
      <c r="M35" s="42">
        <v>0.2998</v>
      </c>
      <c r="N35" s="42">
        <v>0.2969</v>
      </c>
      <c r="O35" s="42">
        <v>0.2957</v>
      </c>
      <c r="Q35" s="29" t="s">
        <v>9</v>
      </c>
      <c r="R35" s="6">
        <v>30</v>
      </c>
      <c r="S35" s="42">
        <v>0.0127</v>
      </c>
      <c r="T35" s="42">
        <v>0.0126</v>
      </c>
      <c r="U35" s="42">
        <v>0.0124</v>
      </c>
      <c r="V35" s="42">
        <v>0.012</v>
      </c>
      <c r="W35" s="42">
        <v>0.0117</v>
      </c>
      <c r="X35" s="42">
        <v>0.0114</v>
      </c>
      <c r="Y35" s="42">
        <v>0.0113</v>
      </c>
    </row>
    <row r="36" spans="2:25" s="1" customFormat="1" ht="12.75">
      <c r="B36" s="38"/>
      <c r="C36" s="54">
        <v>90</v>
      </c>
      <c r="D36" s="48">
        <v>0.3476</v>
      </c>
      <c r="E36" s="47"/>
      <c r="F36" s="10"/>
      <c r="G36" s="38"/>
      <c r="H36" s="6">
        <v>60</v>
      </c>
      <c r="I36" s="42">
        <v>0.1899</v>
      </c>
      <c r="J36" s="42">
        <v>0.188</v>
      </c>
      <c r="K36" s="42">
        <v>0.1827</v>
      </c>
      <c r="L36" s="42">
        <v>0.1755</v>
      </c>
      <c r="M36" s="42">
        <v>0.1684</v>
      </c>
      <c r="N36" s="42">
        <v>0.163</v>
      </c>
      <c r="O36" s="42">
        <v>0.1611</v>
      </c>
      <c r="Q36" s="38"/>
      <c r="R36" s="6">
        <v>60</v>
      </c>
      <c r="S36" s="42">
        <v>0.0082</v>
      </c>
      <c r="T36" s="42">
        <v>0.008</v>
      </c>
      <c r="U36" s="42">
        <v>0.0076</v>
      </c>
      <c r="V36" s="42">
        <v>0.0069</v>
      </c>
      <c r="W36" s="42">
        <v>0.0063</v>
      </c>
      <c r="X36" s="42">
        <v>0.0058</v>
      </c>
      <c r="Y36" s="42">
        <v>0.0056</v>
      </c>
    </row>
    <row r="37" spans="2:25" s="1" customFormat="1" ht="12.75">
      <c r="B37" s="52"/>
      <c r="C37" s="54">
        <v>120</v>
      </c>
      <c r="D37" s="48">
        <v>0.1324</v>
      </c>
      <c r="F37" s="10"/>
      <c r="G37" s="39"/>
      <c r="H37" s="7">
        <v>90</v>
      </c>
      <c r="I37" s="43">
        <v>0.0165</v>
      </c>
      <c r="J37" s="43">
        <v>0.0146</v>
      </c>
      <c r="K37" s="43">
        <v>0.0101</v>
      </c>
      <c r="L37" s="43">
        <v>0.0052</v>
      </c>
      <c r="M37" s="43">
        <v>0.0017</v>
      </c>
      <c r="N37" s="43">
        <v>0.0002</v>
      </c>
      <c r="O37" s="43">
        <v>0</v>
      </c>
      <c r="Q37" s="39"/>
      <c r="R37" s="7">
        <v>90</v>
      </c>
      <c r="S37" s="43">
        <v>0.0015</v>
      </c>
      <c r="T37" s="43">
        <v>0.0013</v>
      </c>
      <c r="U37" s="43">
        <v>0.0008</v>
      </c>
      <c r="V37" s="43">
        <v>0.0003</v>
      </c>
      <c r="W37" s="43">
        <v>0</v>
      </c>
      <c r="X37" s="43">
        <v>0</v>
      </c>
      <c r="Y37" s="43">
        <v>0</v>
      </c>
    </row>
    <row r="38" spans="2:25" s="1" customFormat="1" ht="12.75">
      <c r="B38" s="53"/>
      <c r="C38" s="55">
        <v>150</v>
      </c>
      <c r="D38" s="51">
        <v>0.014</v>
      </c>
      <c r="F38" s="10"/>
      <c r="G38" s="4">
        <v>500</v>
      </c>
      <c r="H38" s="4">
        <v>0</v>
      </c>
      <c r="I38" s="41">
        <v>0.2689</v>
      </c>
      <c r="J38" s="41">
        <v>0.2689</v>
      </c>
      <c r="K38" s="41">
        <v>0.2689</v>
      </c>
      <c r="L38" s="41">
        <v>0.2689</v>
      </c>
      <c r="M38" s="41">
        <v>0.2689</v>
      </c>
      <c r="N38" s="41">
        <v>0.2689</v>
      </c>
      <c r="O38" s="41">
        <v>0.2689</v>
      </c>
      <c r="Q38" s="4">
        <v>500</v>
      </c>
      <c r="R38" s="4">
        <v>0</v>
      </c>
      <c r="S38" s="41">
        <v>0.0034</v>
      </c>
      <c r="T38" s="41">
        <v>0.0034</v>
      </c>
      <c r="U38" s="41">
        <v>0.0034</v>
      </c>
      <c r="V38" s="41">
        <v>0.0034</v>
      </c>
      <c r="W38" s="41">
        <v>0.0034</v>
      </c>
      <c r="X38" s="41">
        <v>0.0034</v>
      </c>
      <c r="Y38" s="41">
        <v>0.0034</v>
      </c>
    </row>
    <row r="39" spans="2:25" s="1" customFormat="1" ht="12.75">
      <c r="B39" s="6">
        <v>500</v>
      </c>
      <c r="C39" s="62">
        <v>0</v>
      </c>
      <c r="D39" s="61">
        <v>0.8618</v>
      </c>
      <c r="F39" s="10"/>
      <c r="G39" s="29" t="s">
        <v>10</v>
      </c>
      <c r="H39" s="6">
        <v>30</v>
      </c>
      <c r="I39" s="42">
        <v>0.2453</v>
      </c>
      <c r="J39" s="42">
        <v>0.2436</v>
      </c>
      <c r="K39" s="42">
        <v>0.2391</v>
      </c>
      <c r="L39" s="42">
        <v>0.2328</v>
      </c>
      <c r="M39" s="42">
        <v>0.2266</v>
      </c>
      <c r="N39" s="42">
        <v>0.222</v>
      </c>
      <c r="O39" s="42">
        <v>0.2203</v>
      </c>
      <c r="Q39" s="29" t="s">
        <v>10</v>
      </c>
      <c r="R39" s="6">
        <v>30</v>
      </c>
      <c r="S39" s="42">
        <v>0.0032</v>
      </c>
      <c r="T39" s="42">
        <v>0.0032</v>
      </c>
      <c r="U39" s="42">
        <v>0.0031</v>
      </c>
      <c r="V39" s="42">
        <v>0.003</v>
      </c>
      <c r="W39" s="42">
        <v>0.0028</v>
      </c>
      <c r="X39" s="42">
        <v>0.0027</v>
      </c>
      <c r="Y39" s="42">
        <v>0.0027</v>
      </c>
    </row>
    <row r="40" spans="2:25" s="1" customFormat="1" ht="12.75">
      <c r="B40" s="56" t="s">
        <v>10</v>
      </c>
      <c r="C40" s="54">
        <v>30</v>
      </c>
      <c r="D40" s="48">
        <v>0.7512</v>
      </c>
      <c r="F40" s="10"/>
      <c r="G40" s="38"/>
      <c r="H40" s="6">
        <v>60</v>
      </c>
      <c r="I40" s="42">
        <v>0.56</v>
      </c>
      <c r="J40" s="42">
        <v>0.1531</v>
      </c>
      <c r="K40" s="42">
        <v>0.1452</v>
      </c>
      <c r="L40" s="42">
        <v>0.1344</v>
      </c>
      <c r="M40" s="42">
        <v>0.1236</v>
      </c>
      <c r="N40" s="42">
        <v>0.1157</v>
      </c>
      <c r="O40" s="42">
        <v>0.1128</v>
      </c>
      <c r="Q40" s="38"/>
      <c r="R40" s="6">
        <v>60</v>
      </c>
      <c r="S40" s="42">
        <v>0.0022</v>
      </c>
      <c r="T40" s="42">
        <v>0.0022</v>
      </c>
      <c r="U40" s="42">
        <v>0.0019</v>
      </c>
      <c r="V40" s="42">
        <v>0.0017</v>
      </c>
      <c r="W40" s="42">
        <v>0.0015</v>
      </c>
      <c r="X40" s="42">
        <v>0.0012</v>
      </c>
      <c r="Y40" s="42">
        <v>0.0012</v>
      </c>
    </row>
    <row r="41" spans="2:25" s="1" customFormat="1" ht="12.75">
      <c r="B41" s="38"/>
      <c r="C41" s="54">
        <v>60</v>
      </c>
      <c r="D41" s="48">
        <v>0.5186</v>
      </c>
      <c r="F41" s="10"/>
      <c r="G41" s="39"/>
      <c r="H41" s="7">
        <v>90</v>
      </c>
      <c r="I41" s="43">
        <v>0.0249</v>
      </c>
      <c r="J41" s="43">
        <v>0.0219</v>
      </c>
      <c r="K41" s="43">
        <v>0.0152</v>
      </c>
      <c r="L41" s="43">
        <v>0.0079</v>
      </c>
      <c r="M41" s="43">
        <v>0.0026</v>
      </c>
      <c r="N41" s="43">
        <v>0.0003</v>
      </c>
      <c r="O41" s="43">
        <v>0</v>
      </c>
      <c r="Q41" s="39"/>
      <c r="R41" s="7">
        <v>90</v>
      </c>
      <c r="S41" s="43">
        <v>0.0006</v>
      </c>
      <c r="T41" s="43">
        <v>0.0004</v>
      </c>
      <c r="U41" s="43">
        <v>0.0003</v>
      </c>
      <c r="V41" s="43">
        <v>0</v>
      </c>
      <c r="W41" s="43">
        <v>0</v>
      </c>
      <c r="X41" s="43">
        <v>0</v>
      </c>
      <c r="Y41" s="43">
        <v>0</v>
      </c>
    </row>
    <row r="42" spans="2:25" s="1" customFormat="1" ht="12.75">
      <c r="B42" s="38"/>
      <c r="C42" s="60">
        <v>90</v>
      </c>
      <c r="D42" s="61">
        <v>0.2746</v>
      </c>
      <c r="F42" s="10"/>
      <c r="G42" s="4">
        <v>1000</v>
      </c>
      <c r="H42" s="4">
        <v>0</v>
      </c>
      <c r="I42" s="41">
        <v>0.1924</v>
      </c>
      <c r="J42" s="41">
        <v>0.1924</v>
      </c>
      <c r="K42" s="41">
        <v>0.1924</v>
      </c>
      <c r="L42" s="41">
        <v>0.1924</v>
      </c>
      <c r="M42" s="41">
        <v>0.1924</v>
      </c>
      <c r="N42" s="41">
        <v>0.1924</v>
      </c>
      <c r="O42" s="41">
        <v>0.1924</v>
      </c>
      <c r="Q42" s="4">
        <v>1000</v>
      </c>
      <c r="R42" s="4">
        <v>0</v>
      </c>
      <c r="S42" s="41">
        <v>0.0003</v>
      </c>
      <c r="T42" s="41">
        <v>0.0003</v>
      </c>
      <c r="U42" s="41">
        <v>0.0003</v>
      </c>
      <c r="V42" s="41">
        <v>0.0003</v>
      </c>
      <c r="W42" s="41">
        <v>0.0003</v>
      </c>
      <c r="X42" s="41">
        <v>0.0003</v>
      </c>
      <c r="Y42" s="41">
        <v>0.0003</v>
      </c>
    </row>
    <row r="43" spans="2:25" s="1" customFormat="1" ht="12.75">
      <c r="B43" s="52"/>
      <c r="C43" s="54">
        <v>120</v>
      </c>
      <c r="D43" s="48">
        <v>0.0875</v>
      </c>
      <c r="F43" s="10"/>
      <c r="G43" s="29" t="s">
        <v>11</v>
      </c>
      <c r="H43" s="6">
        <v>30</v>
      </c>
      <c r="I43" s="42">
        <v>0.1811</v>
      </c>
      <c r="J43" s="42">
        <v>0.1791</v>
      </c>
      <c r="K43" s="42">
        <v>0.1738</v>
      </c>
      <c r="L43" s="42">
        <v>0.1665</v>
      </c>
      <c r="M43" s="42">
        <v>0.1693</v>
      </c>
      <c r="N43" s="42">
        <v>0.154</v>
      </c>
      <c r="O43" s="42">
        <v>0.152</v>
      </c>
      <c r="Q43" s="29" t="s">
        <v>11</v>
      </c>
      <c r="R43" s="6">
        <v>30</v>
      </c>
      <c r="S43" s="42">
        <v>0.0003</v>
      </c>
      <c r="T43" s="42">
        <v>0.0003</v>
      </c>
      <c r="U43" s="42">
        <v>0.0003</v>
      </c>
      <c r="V43" s="42">
        <v>0.0003</v>
      </c>
      <c r="W43" s="42">
        <v>0.0002</v>
      </c>
      <c r="X43" s="42">
        <v>0.0002</v>
      </c>
      <c r="Y43" s="42">
        <v>0.0002</v>
      </c>
    </row>
    <row r="44" spans="2:25" s="1" customFormat="1" ht="12.75">
      <c r="B44" s="53"/>
      <c r="C44" s="55">
        <v>150</v>
      </c>
      <c r="D44" s="51">
        <v>0.0045</v>
      </c>
      <c r="F44" s="10"/>
      <c r="G44" s="38"/>
      <c r="H44" s="6">
        <v>60</v>
      </c>
      <c r="I44" s="42">
        <v>0.1263</v>
      </c>
      <c r="J44" s="42">
        <v>0.1194</v>
      </c>
      <c r="K44" s="42">
        <v>0.1383</v>
      </c>
      <c r="L44" s="42">
        <v>0.096</v>
      </c>
      <c r="M44" s="42">
        <v>0.0835</v>
      </c>
      <c r="N44" s="42">
        <v>0.0743</v>
      </c>
      <c r="O44" s="42">
        <v>0.0709</v>
      </c>
      <c r="Q44" s="38"/>
      <c r="R44" s="6">
        <v>60</v>
      </c>
      <c r="S44" s="42">
        <v>0.0002</v>
      </c>
      <c r="T44" s="42">
        <v>0.0002</v>
      </c>
      <c r="U44" s="42">
        <v>0.0002</v>
      </c>
      <c r="V44" s="42">
        <v>0.0001</v>
      </c>
      <c r="W44" s="42">
        <v>0.0001</v>
      </c>
      <c r="X44" s="42">
        <v>0.0001</v>
      </c>
      <c r="Y44" s="42">
        <v>0.0001</v>
      </c>
    </row>
    <row r="45" spans="2:25" s="1" customFormat="1" ht="12.75">
      <c r="B45" s="6">
        <v>1000</v>
      </c>
      <c r="C45" s="60">
        <v>0</v>
      </c>
      <c r="D45" s="61">
        <v>0.7527</v>
      </c>
      <c r="F45" s="10"/>
      <c r="G45" s="39"/>
      <c r="H45" s="7">
        <v>90</v>
      </c>
      <c r="I45" s="43">
        <v>0.029</v>
      </c>
      <c r="J45" s="43">
        <v>0.0256</v>
      </c>
      <c r="K45" s="43">
        <v>0.0161</v>
      </c>
      <c r="L45" s="43">
        <v>0.0092</v>
      </c>
      <c r="M45" s="43">
        <v>0.0031</v>
      </c>
      <c r="N45" s="43">
        <v>0.0004</v>
      </c>
      <c r="O45" s="43">
        <v>0</v>
      </c>
      <c r="Q45" s="39"/>
      <c r="R45" s="7">
        <v>90</v>
      </c>
      <c r="S45" s="43">
        <v>0.0001</v>
      </c>
      <c r="T45" s="43">
        <v>0.0001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</row>
    <row r="46" spans="2:25" s="1" customFormat="1" ht="12.75">
      <c r="B46" s="56" t="s">
        <v>11</v>
      </c>
      <c r="C46" s="54">
        <v>30</v>
      </c>
      <c r="D46" s="48">
        <v>0.6522</v>
      </c>
      <c r="F46" s="10"/>
      <c r="G46" s="4">
        <v>1500</v>
      </c>
      <c r="H46" s="4">
        <v>0</v>
      </c>
      <c r="I46" s="41">
        <v>0.147</v>
      </c>
      <c r="J46" s="41">
        <v>0.147</v>
      </c>
      <c r="K46" s="41">
        <v>0.147</v>
      </c>
      <c r="L46" s="41">
        <v>0.147</v>
      </c>
      <c r="M46" s="41">
        <v>0.147</v>
      </c>
      <c r="N46" s="41">
        <v>0.147</v>
      </c>
      <c r="O46" s="41">
        <v>0.147</v>
      </c>
      <c r="Q46" s="4">
        <v>1500</v>
      </c>
      <c r="R46" s="4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</row>
    <row r="47" spans="2:25" s="1" customFormat="1" ht="12.75">
      <c r="B47" s="38"/>
      <c r="C47" s="54">
        <v>60</v>
      </c>
      <c r="D47" s="48">
        <v>0.4216</v>
      </c>
      <c r="F47" s="10"/>
      <c r="G47" s="29" t="s">
        <v>12</v>
      </c>
      <c r="H47" s="6">
        <v>30</v>
      </c>
      <c r="I47" s="42">
        <v>0.1416</v>
      </c>
      <c r="J47" s="42">
        <v>0.1397</v>
      </c>
      <c r="K47" s="42">
        <v>0.1345</v>
      </c>
      <c r="L47" s="42">
        <v>0.1272</v>
      </c>
      <c r="M47" s="42">
        <v>0.12</v>
      </c>
      <c r="N47" s="42">
        <v>0.1148</v>
      </c>
      <c r="O47" s="42">
        <v>0.1129</v>
      </c>
      <c r="Q47" s="29" t="s">
        <v>12</v>
      </c>
      <c r="R47" s="6">
        <v>30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</row>
    <row r="48" spans="2:25" s="1" customFormat="1" ht="12.75">
      <c r="B48" s="38"/>
      <c r="C48" s="60">
        <v>90</v>
      </c>
      <c r="D48" s="61">
        <v>0.198</v>
      </c>
      <c r="F48" s="10"/>
      <c r="G48" s="38"/>
      <c r="H48" s="6">
        <v>60</v>
      </c>
      <c r="I48" s="42">
        <v>0.1026</v>
      </c>
      <c r="J48" s="42">
        <v>0.0963</v>
      </c>
      <c r="K48" s="42">
        <v>0.1032</v>
      </c>
      <c r="L48" s="42">
        <v>0.0731</v>
      </c>
      <c r="M48" s="42">
        <v>0.0608</v>
      </c>
      <c r="N48" s="42">
        <v>0.0518</v>
      </c>
      <c r="O48" s="42">
        <v>0.0485</v>
      </c>
      <c r="Q48" s="38"/>
      <c r="R48" s="6">
        <v>60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</row>
    <row r="49" spans="2:25" s="1" customFormat="1" ht="12.75">
      <c r="B49" s="52"/>
      <c r="C49" s="54">
        <v>120</v>
      </c>
      <c r="D49" s="48">
        <v>0.0467</v>
      </c>
      <c r="F49" s="10"/>
      <c r="G49" s="39"/>
      <c r="H49" s="7">
        <v>90</v>
      </c>
      <c r="I49" s="43">
        <v>0.0287</v>
      </c>
      <c r="J49" s="43">
        <v>0.0253</v>
      </c>
      <c r="K49" s="43">
        <v>0.0165</v>
      </c>
      <c r="L49" s="43">
        <v>0.0091</v>
      </c>
      <c r="M49" s="43">
        <v>0.0031</v>
      </c>
      <c r="N49" s="43">
        <v>0.0004</v>
      </c>
      <c r="O49" s="43">
        <v>0</v>
      </c>
      <c r="Q49" s="39"/>
      <c r="R49" s="7">
        <v>90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</row>
    <row r="50" spans="2:25" s="1" customFormat="1" ht="12.75">
      <c r="B50" s="53"/>
      <c r="C50" s="55">
        <v>150</v>
      </c>
      <c r="D50" s="51">
        <v>0.0006</v>
      </c>
      <c r="F50" s="10"/>
      <c r="G50" s="4">
        <v>2000</v>
      </c>
      <c r="H50" s="4">
        <v>0</v>
      </c>
      <c r="I50" s="41">
        <v>0.1162</v>
      </c>
      <c r="J50" s="41">
        <v>0.1162</v>
      </c>
      <c r="K50" s="41">
        <v>0.1162</v>
      </c>
      <c r="L50" s="41">
        <v>0.1162</v>
      </c>
      <c r="M50" s="41">
        <v>0.1162</v>
      </c>
      <c r="N50" s="41">
        <v>0.1162</v>
      </c>
      <c r="O50" s="41">
        <v>0.1162</v>
      </c>
      <c r="Q50" s="4">
        <v>2000</v>
      </c>
      <c r="R50" s="4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</row>
    <row r="51" spans="2:25" s="1" customFormat="1" ht="12.75">
      <c r="B51" s="6">
        <v>1500</v>
      </c>
      <c r="C51" s="54">
        <v>0</v>
      </c>
      <c r="D51" s="48">
        <v>0.6613</v>
      </c>
      <c r="F51" s="10"/>
      <c r="G51" s="29" t="s">
        <v>13</v>
      </c>
      <c r="H51" s="6">
        <v>30</v>
      </c>
      <c r="I51" s="42">
        <v>0.1143</v>
      </c>
      <c r="J51" s="42">
        <v>0.1125</v>
      </c>
      <c r="K51" s="42">
        <v>0.1075</v>
      </c>
      <c r="L51" s="42">
        <v>0.1006</v>
      </c>
      <c r="M51" s="42">
        <v>0.0938</v>
      </c>
      <c r="N51" s="42">
        <v>0.0888</v>
      </c>
      <c r="O51" s="42">
        <v>0.087</v>
      </c>
      <c r="Q51" s="29" t="s">
        <v>13</v>
      </c>
      <c r="R51" s="6">
        <v>30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</row>
    <row r="52" spans="2:25" s="1" customFormat="1" ht="12.75">
      <c r="B52" s="56" t="s">
        <v>12</v>
      </c>
      <c r="C52" s="54">
        <v>30</v>
      </c>
      <c r="D52" s="48">
        <v>0.5727</v>
      </c>
      <c r="F52" s="10"/>
      <c r="G52" s="38"/>
      <c r="H52" s="6">
        <v>60</v>
      </c>
      <c r="I52" s="42">
        <v>0.084</v>
      </c>
      <c r="J52" s="42">
        <v>0.0793</v>
      </c>
      <c r="K52" s="42">
        <v>0.0695</v>
      </c>
      <c r="L52" s="42">
        <v>0.0575</v>
      </c>
      <c r="M52" s="42">
        <v>0.046</v>
      </c>
      <c r="N52" s="42">
        <v>0.0376</v>
      </c>
      <c r="O52" s="42">
        <v>0.0345</v>
      </c>
      <c r="Q52" s="38"/>
      <c r="R52" s="6">
        <v>60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</row>
    <row r="53" spans="2:25" s="1" customFormat="1" ht="12.75">
      <c r="B53" s="38"/>
      <c r="C53" s="54">
        <v>60</v>
      </c>
      <c r="D53" s="48">
        <v>0.3572</v>
      </c>
      <c r="F53" s="10"/>
      <c r="G53" s="39"/>
      <c r="H53" s="7">
        <v>90</v>
      </c>
      <c r="I53" s="43">
        <v>0.0272</v>
      </c>
      <c r="J53" s="43">
        <v>0.024</v>
      </c>
      <c r="K53" s="43">
        <v>0.0165</v>
      </c>
      <c r="L53" s="43">
        <v>0.0086</v>
      </c>
      <c r="M53" s="43">
        <v>0.0029</v>
      </c>
      <c r="N53" s="43">
        <v>0.0004</v>
      </c>
      <c r="O53" s="43">
        <v>0</v>
      </c>
      <c r="Q53" s="39"/>
      <c r="R53" s="7">
        <v>90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</row>
    <row r="54" spans="2:25" s="1" customFormat="1" ht="12.75">
      <c r="B54" s="38"/>
      <c r="C54" s="54">
        <v>90</v>
      </c>
      <c r="D54" s="48">
        <v>0.1528</v>
      </c>
      <c r="F54" s="10"/>
      <c r="G54" s="8" t="s">
        <v>4</v>
      </c>
      <c r="H54" s="4">
        <v>0</v>
      </c>
      <c r="I54" s="41">
        <v>0.0004</v>
      </c>
      <c r="J54" s="41">
        <v>0.0004</v>
      </c>
      <c r="K54" s="41">
        <v>0.0004</v>
      </c>
      <c r="L54" s="41">
        <v>0.0004</v>
      </c>
      <c r="M54" s="41">
        <v>0.0004</v>
      </c>
      <c r="N54" s="41">
        <v>0.0004</v>
      </c>
      <c r="O54" s="41">
        <v>0.0004</v>
      </c>
      <c r="Q54" s="8" t="s">
        <v>4</v>
      </c>
      <c r="R54" s="4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</row>
    <row r="55" spans="2:25" s="1" customFormat="1" ht="12.75">
      <c r="B55" s="52"/>
      <c r="C55" s="54">
        <v>120</v>
      </c>
      <c r="D55" s="48">
        <v>0.0274</v>
      </c>
      <c r="F55" s="10"/>
      <c r="G55" s="29" t="s">
        <v>14</v>
      </c>
      <c r="H55" s="6">
        <v>30</v>
      </c>
      <c r="I55" s="42">
        <v>0.0006</v>
      </c>
      <c r="J55" s="42">
        <v>0.0006</v>
      </c>
      <c r="K55" s="42">
        <v>0.0004</v>
      </c>
      <c r="L55" s="42">
        <v>0.0003</v>
      </c>
      <c r="M55" s="42">
        <v>0.0003</v>
      </c>
      <c r="N55" s="42">
        <v>0.0002</v>
      </c>
      <c r="O55" s="42">
        <v>0.0002</v>
      </c>
      <c r="Q55" s="29" t="s">
        <v>14</v>
      </c>
      <c r="R55" s="6">
        <v>30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</row>
    <row r="56" spans="2:25" s="1" customFormat="1" ht="12.75">
      <c r="B56" s="53"/>
      <c r="C56" s="55">
        <v>150</v>
      </c>
      <c r="D56" s="51">
        <v>0</v>
      </c>
      <c r="F56" s="10"/>
      <c r="G56" s="38"/>
      <c r="H56" s="6">
        <v>60</v>
      </c>
      <c r="I56" s="42">
        <v>0.0006</v>
      </c>
      <c r="J56" s="42">
        <v>0.0004</v>
      </c>
      <c r="K56" s="42">
        <v>0.0003</v>
      </c>
      <c r="L56" s="42">
        <v>0.0002</v>
      </c>
      <c r="M56" s="42">
        <v>0</v>
      </c>
      <c r="N56" s="42">
        <v>0</v>
      </c>
      <c r="O56" s="42">
        <v>0</v>
      </c>
      <c r="Q56" s="38"/>
      <c r="R56" s="6">
        <v>60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</row>
    <row r="57" spans="2:25" s="1" customFormat="1" ht="12.75">
      <c r="B57" s="6">
        <v>2000</v>
      </c>
      <c r="C57" s="54">
        <v>0</v>
      </c>
      <c r="D57" s="48">
        <v>0.5883</v>
      </c>
      <c r="F57" s="10"/>
      <c r="G57" s="40"/>
      <c r="H57" s="7">
        <v>90</v>
      </c>
      <c r="I57" s="43">
        <v>0.0003</v>
      </c>
      <c r="J57" s="43">
        <v>0.0003</v>
      </c>
      <c r="K57" s="43">
        <v>0.0002</v>
      </c>
      <c r="L57" s="43">
        <v>0.0001</v>
      </c>
      <c r="M57" s="43">
        <v>0</v>
      </c>
      <c r="N57" s="43">
        <v>0</v>
      </c>
      <c r="O57" s="43">
        <v>0</v>
      </c>
      <c r="Q57" s="40"/>
      <c r="R57" s="7">
        <v>90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</row>
    <row r="58" spans="2:4" ht="12.75">
      <c r="B58" s="56" t="s">
        <v>13</v>
      </c>
      <c r="C58" s="54">
        <v>30</v>
      </c>
      <c r="D58" s="48">
        <v>0.5099</v>
      </c>
    </row>
    <row r="59" spans="2:225" ht="12.75" customHeight="1">
      <c r="B59" s="38"/>
      <c r="C59" s="54">
        <v>60</v>
      </c>
      <c r="D59" s="48">
        <v>0.3109</v>
      </c>
      <c r="G59" s="114" t="s">
        <v>25</v>
      </c>
      <c r="H59" s="114"/>
      <c r="I59" s="114"/>
      <c r="J59" s="114"/>
      <c r="K59" s="114"/>
      <c r="L59" s="114"/>
      <c r="M59" s="114"/>
      <c r="N59" s="114"/>
      <c r="O59" s="114"/>
      <c r="HO59"/>
      <c r="HP59"/>
      <c r="HQ59"/>
    </row>
    <row r="60" spans="2:225" ht="12.75" customHeight="1">
      <c r="B60" s="38"/>
      <c r="C60" s="54">
        <v>90</v>
      </c>
      <c r="D60" s="48">
        <v>0.1228</v>
      </c>
      <c r="G60" s="115" t="s">
        <v>3</v>
      </c>
      <c r="H60" s="117" t="s">
        <v>1</v>
      </c>
      <c r="I60" s="118"/>
      <c r="J60" s="118"/>
      <c r="K60" s="118"/>
      <c r="L60" s="118"/>
      <c r="M60" s="118"/>
      <c r="N60" s="118"/>
      <c r="O60" s="119"/>
      <c r="HO60"/>
      <c r="HP60"/>
      <c r="HQ60"/>
    </row>
    <row r="61" spans="2:225" ht="12.75">
      <c r="B61" s="49"/>
      <c r="C61" s="6">
        <v>120</v>
      </c>
      <c r="D61" s="45">
        <v>0.0166</v>
      </c>
      <c r="E61" s="49"/>
      <c r="G61" s="116"/>
      <c r="H61" s="36" t="s">
        <v>7</v>
      </c>
      <c r="I61" s="37" t="s">
        <v>17</v>
      </c>
      <c r="J61" s="37" t="s">
        <v>18</v>
      </c>
      <c r="K61" s="37" t="s">
        <v>19</v>
      </c>
      <c r="L61" s="37" t="s">
        <v>20</v>
      </c>
      <c r="M61" s="37" t="s">
        <v>21</v>
      </c>
      <c r="N61" s="37" t="s">
        <v>22</v>
      </c>
      <c r="O61" s="37" t="s">
        <v>23</v>
      </c>
      <c r="HL61"/>
      <c r="HM61"/>
      <c r="HN61"/>
      <c r="HO61"/>
      <c r="HP61"/>
      <c r="HQ61"/>
    </row>
    <row r="62" spans="2:225" ht="12.75">
      <c r="B62" s="50"/>
      <c r="C62" s="7">
        <v>150</v>
      </c>
      <c r="D62" s="51">
        <v>0</v>
      </c>
      <c r="E62" s="49"/>
      <c r="G62" s="4">
        <v>200</v>
      </c>
      <c r="H62" s="4">
        <v>0</v>
      </c>
      <c r="I62" s="41">
        <v>0.8202</v>
      </c>
      <c r="J62" s="41">
        <v>0.8202</v>
      </c>
      <c r="K62" s="41">
        <v>0.8202</v>
      </c>
      <c r="L62" s="41">
        <v>0.8202</v>
      </c>
      <c r="M62" s="41">
        <v>0.8202</v>
      </c>
      <c r="N62" s="41">
        <v>0.8202</v>
      </c>
      <c r="O62" s="41">
        <v>0.8202</v>
      </c>
      <c r="HL62"/>
      <c r="HM62"/>
      <c r="HN62"/>
      <c r="HO62"/>
      <c r="HP62"/>
      <c r="HQ62"/>
    </row>
    <row r="63" spans="2:225" ht="12.75">
      <c r="B63" s="56" t="s">
        <v>4</v>
      </c>
      <c r="C63" s="54">
        <v>0</v>
      </c>
      <c r="D63" s="48">
        <v>0.0239</v>
      </c>
      <c r="G63" s="29" t="s">
        <v>9</v>
      </c>
      <c r="H63" s="6">
        <v>30</v>
      </c>
      <c r="I63" s="42">
        <v>0.7178</v>
      </c>
      <c r="J63" s="42">
        <v>0.7168</v>
      </c>
      <c r="K63" s="42">
        <v>0.7141</v>
      </c>
      <c r="L63" s="42">
        <v>0.7103</v>
      </c>
      <c r="M63" s="42">
        <v>0.7066</v>
      </c>
      <c r="N63" s="42">
        <v>0.7039</v>
      </c>
      <c r="O63" s="42">
        <v>0.7029</v>
      </c>
      <c r="HL63"/>
      <c r="HM63"/>
      <c r="HN63"/>
      <c r="HO63"/>
      <c r="HP63"/>
      <c r="HQ63"/>
    </row>
    <row r="64" spans="2:225" ht="12.75">
      <c r="B64" s="56" t="s">
        <v>14</v>
      </c>
      <c r="C64" s="54">
        <v>30</v>
      </c>
      <c r="D64" s="48">
        <v>0.0208</v>
      </c>
      <c r="G64" s="38"/>
      <c r="H64" s="6">
        <v>60</v>
      </c>
      <c r="I64" s="42">
        <v>0.423</v>
      </c>
      <c r="J64" s="42">
        <v>0.4213</v>
      </c>
      <c r="K64" s="42">
        <v>0.4166</v>
      </c>
      <c r="L64" s="42">
        <v>0.4101</v>
      </c>
      <c r="M64" s="42">
        <v>0.4036</v>
      </c>
      <c r="N64" s="42">
        <v>0.3989</v>
      </c>
      <c r="O64" s="42">
        <v>0.3972</v>
      </c>
      <c r="HL64"/>
      <c r="HM64"/>
      <c r="HN64"/>
      <c r="HO64"/>
      <c r="HP64"/>
      <c r="HQ64"/>
    </row>
    <row r="65" spans="2:225" ht="12.75">
      <c r="B65" s="57"/>
      <c r="C65" s="54">
        <v>60</v>
      </c>
      <c r="D65" s="48">
        <v>0.012</v>
      </c>
      <c r="G65" s="39"/>
      <c r="H65" s="7">
        <v>90</v>
      </c>
      <c r="I65" s="43">
        <v>0.0185</v>
      </c>
      <c r="J65" s="43">
        <v>0.0182</v>
      </c>
      <c r="K65" s="43">
        <v>0.0143</v>
      </c>
      <c r="L65" s="43">
        <v>0.0095</v>
      </c>
      <c r="M65" s="43">
        <v>0.0067</v>
      </c>
      <c r="N65" s="43">
        <v>0.0042</v>
      </c>
      <c r="O65" s="43">
        <v>0.0032</v>
      </c>
      <c r="HL65"/>
      <c r="HM65"/>
      <c r="HN65"/>
      <c r="HO65"/>
      <c r="HP65"/>
      <c r="HQ65"/>
    </row>
    <row r="66" spans="2:225" ht="12.75">
      <c r="B66" s="58"/>
      <c r="C66" s="55">
        <v>90</v>
      </c>
      <c r="D66" s="51">
        <v>0.0008</v>
      </c>
      <c r="G66" s="4">
        <v>500</v>
      </c>
      <c r="H66" s="4">
        <v>0</v>
      </c>
      <c r="I66" s="41">
        <v>0.739</v>
      </c>
      <c r="J66" s="41">
        <v>0.739</v>
      </c>
      <c r="K66" s="41">
        <v>0.739</v>
      </c>
      <c r="L66" s="41">
        <v>0.739</v>
      </c>
      <c r="M66" s="41">
        <v>0.739</v>
      </c>
      <c r="N66" s="41">
        <v>0.739</v>
      </c>
      <c r="O66" s="41">
        <v>0.739</v>
      </c>
      <c r="HL66"/>
      <c r="HM66"/>
      <c r="HN66"/>
      <c r="HO66"/>
      <c r="HP66"/>
      <c r="HQ66"/>
    </row>
    <row r="67" spans="7:225" ht="12.75">
      <c r="G67" s="29" t="s">
        <v>10</v>
      </c>
      <c r="H67" s="6">
        <v>30</v>
      </c>
      <c r="I67" s="42">
        <v>0.652</v>
      </c>
      <c r="J67" s="42">
        <v>0.6504</v>
      </c>
      <c r="K67" s="42">
        <v>0.646</v>
      </c>
      <c r="L67" s="42">
        <v>0.64</v>
      </c>
      <c r="M67" s="42">
        <v>0.634</v>
      </c>
      <c r="N67" s="42">
        <v>0.6296</v>
      </c>
      <c r="O67" s="42">
        <v>0.628</v>
      </c>
      <c r="HL67"/>
      <c r="HM67"/>
      <c r="HN67"/>
      <c r="HO67"/>
      <c r="HP67"/>
      <c r="HQ67"/>
    </row>
    <row r="68" spans="7:225" ht="12.75">
      <c r="G68" s="38"/>
      <c r="H68" s="6">
        <v>60</v>
      </c>
      <c r="I68" s="42">
        <v>0.3902</v>
      </c>
      <c r="J68" s="42">
        <v>0.3875</v>
      </c>
      <c r="K68" s="42">
        <v>0.3798</v>
      </c>
      <c r="L68" s="42">
        <v>0.3694</v>
      </c>
      <c r="M68" s="42">
        <v>0.3591</v>
      </c>
      <c r="N68" s="42">
        <v>0.3515</v>
      </c>
      <c r="O68" s="42">
        <v>0.3487</v>
      </c>
      <c r="HL68"/>
      <c r="HM68"/>
      <c r="HN68"/>
      <c r="HO68"/>
      <c r="HP68"/>
      <c r="HQ68"/>
    </row>
    <row r="69" spans="7:225" ht="12.75">
      <c r="G69" s="39"/>
      <c r="H69" s="7">
        <v>90</v>
      </c>
      <c r="I69" s="43">
        <v>0.0325</v>
      </c>
      <c r="J69" s="43">
        <v>0.0479</v>
      </c>
      <c r="K69" s="43">
        <v>0.0263</v>
      </c>
      <c r="L69" s="43">
        <v>0.0198</v>
      </c>
      <c r="M69" s="43">
        <v>0.014</v>
      </c>
      <c r="N69" s="43">
        <v>0.0097</v>
      </c>
      <c r="O69" s="43">
        <v>0.0081</v>
      </c>
      <c r="HL69"/>
      <c r="HM69"/>
      <c r="HN69"/>
      <c r="HO69"/>
      <c r="HP69"/>
      <c r="HQ69"/>
    </row>
    <row r="70" spans="7:225" ht="12.75">
      <c r="G70" s="4">
        <v>1000</v>
      </c>
      <c r="H70" s="4">
        <v>0</v>
      </c>
      <c r="I70" s="41">
        <v>0.6382</v>
      </c>
      <c r="J70" s="41">
        <v>0.6382</v>
      </c>
      <c r="K70" s="41">
        <v>0.6382</v>
      </c>
      <c r="L70" s="41">
        <v>0.6382</v>
      </c>
      <c r="M70" s="41">
        <v>0.6382</v>
      </c>
      <c r="N70" s="41">
        <v>0.6382</v>
      </c>
      <c r="O70" s="41">
        <v>0.6382</v>
      </c>
      <c r="HL70"/>
      <c r="HM70"/>
      <c r="HN70"/>
      <c r="HO70"/>
      <c r="HP70"/>
      <c r="HQ70"/>
    </row>
    <row r="71" spans="7:225" ht="12.75">
      <c r="G71" s="29" t="s">
        <v>11</v>
      </c>
      <c r="H71" s="6">
        <v>30</v>
      </c>
      <c r="I71" s="42">
        <v>0.5671</v>
      </c>
      <c r="J71" s="42">
        <v>0.5652</v>
      </c>
      <c r="K71" s="42">
        <v>0.5599</v>
      </c>
      <c r="L71" s="42">
        <v>0.5526</v>
      </c>
      <c r="M71" s="42">
        <v>0.5454</v>
      </c>
      <c r="N71" s="42">
        <v>0.5402</v>
      </c>
      <c r="O71" s="42">
        <v>0.5382</v>
      </c>
      <c r="HL71"/>
      <c r="HM71"/>
      <c r="HN71"/>
      <c r="HO71"/>
      <c r="HP71"/>
      <c r="HQ71"/>
    </row>
    <row r="72" spans="7:225" ht="12.75">
      <c r="G72" s="38"/>
      <c r="H72" s="6">
        <v>60</v>
      </c>
      <c r="I72" s="42">
        <v>0.3438</v>
      </c>
      <c r="J72" s="42">
        <v>0.3405</v>
      </c>
      <c r="K72" s="42">
        <v>0.3313</v>
      </c>
      <c r="L72" s="42">
        <v>0.3189</v>
      </c>
      <c r="M72" s="42">
        <v>0.3063</v>
      </c>
      <c r="N72" s="42">
        <v>0.2972</v>
      </c>
      <c r="O72" s="42">
        <v>0.2939</v>
      </c>
      <c r="HL72"/>
      <c r="HM72"/>
      <c r="HN72"/>
      <c r="HO72"/>
      <c r="HP72"/>
      <c r="HQ72"/>
    </row>
    <row r="73" spans="7:225" ht="12.75">
      <c r="G73" s="39"/>
      <c r="H73" s="7">
        <v>90</v>
      </c>
      <c r="I73" s="43">
        <v>0.0444</v>
      </c>
      <c r="J73" s="43">
        <v>0.0464</v>
      </c>
      <c r="K73" s="43">
        <v>0.0397</v>
      </c>
      <c r="L73" s="43">
        <v>0.0289</v>
      </c>
      <c r="M73" s="43">
        <v>0.0226</v>
      </c>
      <c r="N73" s="43">
        <v>0.0173</v>
      </c>
      <c r="O73" s="43">
        <v>0.0153</v>
      </c>
      <c r="HL73"/>
      <c r="HM73"/>
      <c r="HN73"/>
      <c r="HO73"/>
      <c r="HP73"/>
      <c r="HQ73"/>
    </row>
    <row r="74" spans="7:225" ht="12.75">
      <c r="G74" s="4">
        <v>1500</v>
      </c>
      <c r="H74" s="4">
        <v>0</v>
      </c>
      <c r="I74" s="41">
        <v>0.5563</v>
      </c>
      <c r="J74" s="41">
        <v>0.5563</v>
      </c>
      <c r="K74" s="41">
        <v>0.5563</v>
      </c>
      <c r="L74" s="41">
        <v>0.5563</v>
      </c>
      <c r="M74" s="41">
        <v>0.5563</v>
      </c>
      <c r="N74" s="41">
        <v>0.5563</v>
      </c>
      <c r="O74" s="41">
        <v>0.5563</v>
      </c>
      <c r="HL74"/>
      <c r="HM74"/>
      <c r="HN74"/>
      <c r="HO74"/>
      <c r="HP74"/>
      <c r="HQ74"/>
    </row>
    <row r="75" spans="7:225" ht="12.75">
      <c r="G75" s="29" t="s">
        <v>12</v>
      </c>
      <c r="H75" s="6">
        <v>30</v>
      </c>
      <c r="I75" s="42">
        <v>0.4961</v>
      </c>
      <c r="J75" s="42">
        <v>0.4942</v>
      </c>
      <c r="K75" s="42">
        <v>0.4889</v>
      </c>
      <c r="L75" s="42">
        <v>0.4187</v>
      </c>
      <c r="M75" s="42">
        <v>0.4745</v>
      </c>
      <c r="N75" s="42">
        <v>0.4693</v>
      </c>
      <c r="O75" s="42">
        <v>0.4674</v>
      </c>
      <c r="HL75"/>
      <c r="HM75"/>
      <c r="HN75"/>
      <c r="HO75"/>
      <c r="HP75"/>
      <c r="HQ75"/>
    </row>
    <row r="76" spans="7:225" ht="12.75">
      <c r="G76" s="38"/>
      <c r="H76" s="6">
        <v>60</v>
      </c>
      <c r="I76" s="42">
        <v>0.302</v>
      </c>
      <c r="J76" s="42">
        <v>0.2987</v>
      </c>
      <c r="K76" s="42">
        <v>0.2897</v>
      </c>
      <c r="L76" s="42">
        <v>0.2274</v>
      </c>
      <c r="M76" s="42">
        <v>0.2651</v>
      </c>
      <c r="N76" s="42">
        <v>0.256</v>
      </c>
      <c r="O76" s="42">
        <v>0.2527</v>
      </c>
      <c r="HL76"/>
      <c r="HM76"/>
      <c r="HN76"/>
      <c r="HO76"/>
      <c r="HP76"/>
      <c r="HQ76"/>
    </row>
    <row r="77" spans="7:225" ht="12.75">
      <c r="G77" s="39"/>
      <c r="H77" s="7">
        <v>90</v>
      </c>
      <c r="I77" s="43">
        <v>0.049</v>
      </c>
      <c r="J77" s="43">
        <v>0.0471</v>
      </c>
      <c r="K77" s="43">
        <v>0.0418</v>
      </c>
      <c r="L77" s="43">
        <v>0.0346</v>
      </c>
      <c r="M77" s="43">
        <v>0.0274</v>
      </c>
      <c r="N77" s="43">
        <v>0.0221</v>
      </c>
      <c r="O77" s="43">
        <v>0.0202</v>
      </c>
      <c r="HL77"/>
      <c r="HM77"/>
      <c r="HN77"/>
      <c r="HO77"/>
      <c r="HP77"/>
      <c r="HQ77"/>
    </row>
    <row r="78" spans="7:225" ht="12.75">
      <c r="G78" s="4">
        <v>2000</v>
      </c>
      <c r="H78" s="4">
        <v>0</v>
      </c>
      <c r="I78" s="41">
        <v>0.4904</v>
      </c>
      <c r="J78" s="41">
        <v>0.4904</v>
      </c>
      <c r="K78" s="41">
        <v>0.4904</v>
      </c>
      <c r="L78" s="41">
        <v>0.4904</v>
      </c>
      <c r="M78" s="41">
        <v>0.4904</v>
      </c>
      <c r="N78" s="41">
        <v>0.4904</v>
      </c>
      <c r="O78" s="41">
        <v>0.4904</v>
      </c>
      <c r="HL78"/>
      <c r="HM78"/>
      <c r="HN78"/>
      <c r="HO78"/>
      <c r="HP78"/>
      <c r="HQ78"/>
    </row>
    <row r="79" spans="7:225" ht="12.75">
      <c r="G79" s="29" t="s">
        <v>13</v>
      </c>
      <c r="H79" s="6">
        <v>30</v>
      </c>
      <c r="I79" s="42">
        <v>0.4384</v>
      </c>
      <c r="J79" s="42">
        <v>0.4365</v>
      </c>
      <c r="K79" s="42">
        <v>0.4315</v>
      </c>
      <c r="L79" s="42">
        <v>0.4247</v>
      </c>
      <c r="M79" s="42">
        <v>0.4178</v>
      </c>
      <c r="N79" s="42">
        <v>0.4128</v>
      </c>
      <c r="O79" s="42">
        <v>0.4111</v>
      </c>
      <c r="HL79"/>
      <c r="HM79"/>
      <c r="HN79"/>
      <c r="HO79"/>
      <c r="HP79"/>
      <c r="HQ79"/>
    </row>
    <row r="80" spans="7:225" ht="12.75">
      <c r="G80" s="38"/>
      <c r="H80" s="6">
        <v>60</v>
      </c>
      <c r="I80" s="42">
        <v>0.2672</v>
      </c>
      <c r="J80" s="42">
        <v>0.2642</v>
      </c>
      <c r="K80" s="42">
        <v>0.2557</v>
      </c>
      <c r="L80" s="42">
        <v>0.244</v>
      </c>
      <c r="M80" s="42">
        <v>0.2325</v>
      </c>
      <c r="N80" s="42">
        <v>0.224</v>
      </c>
      <c r="O80" s="42">
        <v>0.221</v>
      </c>
      <c r="HL80"/>
      <c r="HM80"/>
      <c r="HN80"/>
      <c r="HO80"/>
      <c r="HP80"/>
      <c r="HQ80"/>
    </row>
    <row r="81" spans="7:225" ht="12.75">
      <c r="G81" s="39"/>
      <c r="H81" s="7">
        <v>90</v>
      </c>
      <c r="I81" s="43">
        <v>0.0506</v>
      </c>
      <c r="J81" s="43">
        <v>0.0487</v>
      </c>
      <c r="K81" s="43">
        <v>0.0437</v>
      </c>
      <c r="L81" s="43">
        <v>0.0369</v>
      </c>
      <c r="M81" s="43">
        <v>0.03</v>
      </c>
      <c r="N81" s="43">
        <v>0.025</v>
      </c>
      <c r="O81" s="43">
        <v>0.0233</v>
      </c>
      <c r="HL81"/>
      <c r="HM81"/>
      <c r="HN81"/>
      <c r="HO81"/>
      <c r="HP81"/>
      <c r="HQ81"/>
    </row>
    <row r="82" spans="7:225" ht="12.75">
      <c r="G82" s="8" t="s">
        <v>4</v>
      </c>
      <c r="H82" s="4">
        <v>0</v>
      </c>
      <c r="I82" s="41">
        <v>0.0152</v>
      </c>
      <c r="J82" s="41">
        <v>0.0152</v>
      </c>
      <c r="K82" s="41">
        <v>0.0152</v>
      </c>
      <c r="L82" s="41">
        <v>0.0152</v>
      </c>
      <c r="M82" s="41">
        <v>0.0152</v>
      </c>
      <c r="N82" s="41">
        <v>0.0152</v>
      </c>
      <c r="O82" s="41">
        <v>0.0152</v>
      </c>
      <c r="HL82"/>
      <c r="HM82"/>
      <c r="HN82"/>
      <c r="HO82"/>
      <c r="HP82"/>
      <c r="HQ82"/>
    </row>
    <row r="83" spans="7:225" ht="12.75">
      <c r="G83" s="29" t="s">
        <v>14</v>
      </c>
      <c r="H83" s="6">
        <v>30</v>
      </c>
      <c r="I83" s="42">
        <v>0.0132</v>
      </c>
      <c r="J83" s="42">
        <v>0.0132</v>
      </c>
      <c r="K83" s="42">
        <v>0.0132</v>
      </c>
      <c r="L83" s="42">
        <v>0.0131</v>
      </c>
      <c r="M83" s="42">
        <v>0.013</v>
      </c>
      <c r="N83" s="42">
        <v>0.0129</v>
      </c>
      <c r="O83" s="42">
        <v>0.0129</v>
      </c>
      <c r="HL83"/>
      <c r="HM83"/>
      <c r="HN83"/>
      <c r="HO83"/>
      <c r="HP83"/>
      <c r="HQ83"/>
    </row>
    <row r="84" spans="7:225" ht="12.75">
      <c r="G84" s="38"/>
      <c r="H84" s="6">
        <v>60</v>
      </c>
      <c r="I84" s="42">
        <v>0.0088</v>
      </c>
      <c r="J84" s="42">
        <v>0.0088</v>
      </c>
      <c r="K84" s="42">
        <v>0.0087</v>
      </c>
      <c r="L84" s="42">
        <v>0.0085</v>
      </c>
      <c r="M84" s="42">
        <v>0.0083</v>
      </c>
      <c r="N84" s="42">
        <v>0.0083</v>
      </c>
      <c r="O84" s="42">
        <v>0.0082</v>
      </c>
      <c r="HL84"/>
      <c r="HM84"/>
      <c r="HN84"/>
      <c r="HO84"/>
      <c r="HP84"/>
      <c r="HQ84"/>
    </row>
    <row r="85" spans="7:15" ht="12.75">
      <c r="G85" s="40"/>
      <c r="H85" s="7">
        <v>90</v>
      </c>
      <c r="I85" s="43">
        <v>0.0041</v>
      </c>
      <c r="J85" s="43">
        <v>0.0041</v>
      </c>
      <c r="K85" s="43">
        <v>0.004</v>
      </c>
      <c r="L85" s="43">
        <v>0.0039</v>
      </c>
      <c r="M85" s="43">
        <v>0.0038</v>
      </c>
      <c r="N85" s="43">
        <v>0.0038</v>
      </c>
      <c r="O85" s="43">
        <v>0.0037</v>
      </c>
    </row>
  </sheetData>
  <sheetProtection/>
  <mergeCells count="19">
    <mergeCell ref="B3:D3"/>
    <mergeCell ref="G4:G5"/>
    <mergeCell ref="H32:O32"/>
    <mergeCell ref="G3:O3"/>
    <mergeCell ref="G31:O31"/>
    <mergeCell ref="F32:F33"/>
    <mergeCell ref="G32:G33"/>
    <mergeCell ref="H4:O4"/>
    <mergeCell ref="C4:C5"/>
    <mergeCell ref="B31:D31"/>
    <mergeCell ref="G59:O59"/>
    <mergeCell ref="G60:G61"/>
    <mergeCell ref="H60:O60"/>
    <mergeCell ref="Q3:Y3"/>
    <mergeCell ref="Q4:Q5"/>
    <mergeCell ref="R4:Y4"/>
    <mergeCell ref="Q31:Y31"/>
    <mergeCell ref="Q32:Q33"/>
    <mergeCell ref="R32:Y32"/>
  </mergeCells>
  <printOptions/>
  <pageMargins left="0.5513888888888889" right="0.25833333333333336" top="0.3493055555555556" bottom="0.0951388888888889" header="0.25" footer="0.2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3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3" max="3" width="17.57421875" style="0" customWidth="1"/>
    <col min="4" max="4" width="5.28125" style="0" customWidth="1"/>
    <col min="5" max="5" width="5.8515625" style="0" customWidth="1"/>
    <col min="6" max="6" width="4.7109375" style="0" customWidth="1"/>
    <col min="7" max="7" width="4.421875" style="0" customWidth="1"/>
    <col min="8" max="8" width="4.8515625" style="0" customWidth="1"/>
    <col min="9" max="9" width="6.00390625" style="0" customWidth="1"/>
    <col min="10" max="10" width="5.421875" style="0" customWidth="1"/>
    <col min="11" max="11" width="7.140625" style="0" customWidth="1"/>
    <col min="12" max="12" width="7.7109375" style="0" customWidth="1"/>
    <col min="13" max="13" width="8.8515625" style="0" customWidth="1"/>
    <col min="14" max="14" width="7.00390625" style="0" customWidth="1"/>
    <col min="15" max="15" width="8.00390625" style="0" customWidth="1"/>
    <col min="16" max="16" width="7.8515625" style="0" customWidth="1"/>
  </cols>
  <sheetData>
    <row r="1" spans="1:11" ht="12.75">
      <c r="A1" s="139" t="s">
        <v>33</v>
      </c>
      <c r="B1" s="139"/>
      <c r="J1" s="63"/>
      <c r="K1" s="63"/>
    </row>
    <row r="2" spans="1:11" ht="12.75">
      <c r="A2" s="145"/>
      <c r="B2" s="145"/>
      <c r="J2" s="63"/>
      <c r="K2" s="63"/>
    </row>
    <row r="3" spans="1:11" ht="13.5" thickBot="1">
      <c r="A3" s="145"/>
      <c r="B3" s="151" t="s">
        <v>62</v>
      </c>
      <c r="C3" s="152" t="s">
        <v>63</v>
      </c>
      <c r="D3" s="153" t="s">
        <v>60</v>
      </c>
      <c r="E3" s="153" t="s">
        <v>61</v>
      </c>
      <c r="F3" s="153" t="s">
        <v>29</v>
      </c>
      <c r="J3" s="63"/>
      <c r="K3" s="63"/>
    </row>
    <row r="4" spans="1:11" ht="12.75">
      <c r="A4" s="145"/>
      <c r="B4" s="146">
        <v>73.26</v>
      </c>
      <c r="C4" t="s">
        <v>58</v>
      </c>
      <c r="D4">
        <v>0.15</v>
      </c>
      <c r="E4">
        <v>0.08</v>
      </c>
      <c r="F4" s="65"/>
      <c r="J4" s="63"/>
      <c r="K4" s="63"/>
    </row>
    <row r="5" spans="1:11" ht="12.75">
      <c r="A5" s="145"/>
      <c r="B5" s="146">
        <v>26.74</v>
      </c>
      <c r="C5" t="s">
        <v>59</v>
      </c>
      <c r="D5">
        <v>0.83</v>
      </c>
      <c r="E5">
        <v>0.75</v>
      </c>
      <c r="F5">
        <v>0.25</v>
      </c>
      <c r="J5" s="63"/>
      <c r="K5" s="63"/>
    </row>
    <row r="8" spans="2:16" ht="12.75">
      <c r="B8" s="147" t="s">
        <v>43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  <c r="P8" s="148"/>
    </row>
    <row r="9" spans="2:16" ht="12.75" customHeight="1">
      <c r="B9" s="73"/>
      <c r="C9" s="80"/>
      <c r="D9" s="126" t="s">
        <v>42</v>
      </c>
      <c r="E9" s="126" t="s">
        <v>41</v>
      </c>
      <c r="F9" s="126" t="s">
        <v>44</v>
      </c>
      <c r="G9" s="133" t="s">
        <v>7</v>
      </c>
      <c r="H9" s="135" t="s">
        <v>34</v>
      </c>
      <c r="I9" s="137" t="s">
        <v>45</v>
      </c>
      <c r="J9" s="126" t="s">
        <v>46</v>
      </c>
      <c r="K9" s="131" t="s">
        <v>48</v>
      </c>
      <c r="L9" s="126" t="s">
        <v>49</v>
      </c>
      <c r="M9" s="126" t="s">
        <v>51</v>
      </c>
      <c r="N9" s="131" t="s">
        <v>50</v>
      </c>
      <c r="O9" s="126" t="s">
        <v>64</v>
      </c>
      <c r="P9" s="126" t="s">
        <v>65</v>
      </c>
    </row>
    <row r="10" spans="2:16" ht="13.5" thickBot="1">
      <c r="B10" s="128" t="s">
        <v>40</v>
      </c>
      <c r="C10" s="129"/>
      <c r="D10" s="127"/>
      <c r="E10" s="127"/>
      <c r="F10" s="127"/>
      <c r="G10" s="134"/>
      <c r="H10" s="136"/>
      <c r="I10" s="138"/>
      <c r="J10" s="127"/>
      <c r="K10" s="127"/>
      <c r="L10" s="127"/>
      <c r="M10" s="127"/>
      <c r="N10" s="127"/>
      <c r="O10" s="127"/>
      <c r="P10" s="127"/>
    </row>
    <row r="11" spans="2:16" ht="12.75">
      <c r="B11" s="130" t="s">
        <v>39</v>
      </c>
      <c r="C11" s="130"/>
      <c r="D11" s="75"/>
      <c r="E11" s="65"/>
      <c r="F11" s="75"/>
      <c r="G11" s="75"/>
      <c r="H11" s="75"/>
      <c r="I11" s="75"/>
      <c r="J11" s="75"/>
      <c r="K11" s="75"/>
      <c r="L11" s="75"/>
      <c r="M11" s="75"/>
      <c r="N11" s="75"/>
      <c r="O11" s="150" t="s">
        <v>66</v>
      </c>
      <c r="P11" s="150" t="s">
        <v>66</v>
      </c>
    </row>
    <row r="12" spans="3:16" ht="12.75">
      <c r="C12" s="89" t="s">
        <v>35</v>
      </c>
      <c r="D12" s="86">
        <v>1360</v>
      </c>
      <c r="E12" s="95">
        <f>0.23*D12</f>
        <v>312.8</v>
      </c>
      <c r="F12" s="87">
        <v>218</v>
      </c>
      <c r="G12" s="82">
        <f aca="true" t="shared" si="0" ref="G12:H14">90*(1-0.32831)</f>
        <v>60.4521</v>
      </c>
      <c r="H12" s="82">
        <f t="shared" si="0"/>
        <v>60.4521</v>
      </c>
      <c r="I12" s="99">
        <f>'Appendix D'!$K$40+0.4*('Appendix D'!$K$44-'Appendix D'!$K$40)</f>
        <v>0.14244</v>
      </c>
      <c r="J12" s="99">
        <f>'Appendix D'!$D$42+0.4*('Appendix D'!$D$48-'Appendix D'!$D$42)</f>
        <v>0.24396</v>
      </c>
      <c r="K12" s="104">
        <f>D12*0.32831</f>
        <v>446.5016</v>
      </c>
      <c r="L12" s="83">
        <f>D12*I12</f>
        <v>193.7184</v>
      </c>
      <c r="M12" s="108">
        <f>K12+L12</f>
        <v>640.22</v>
      </c>
      <c r="N12" s="82">
        <f>F12*J12</f>
        <v>53.18328</v>
      </c>
      <c r="O12" s="82">
        <f>(((1-$F$5)*M12*$E$5+N12*$D$5)/($D$5*0.0000000567))^0.25</f>
        <v>304.4398380619941</v>
      </c>
      <c r="P12" s="82">
        <f>((M12*$E$4+N12*$D$4)/($D$4*0.0000000567))^0.25</f>
        <v>288.83701325201827</v>
      </c>
    </row>
    <row r="13" spans="2:16" ht="12.75">
      <c r="B13" s="64"/>
      <c r="C13" s="66" t="s">
        <v>36</v>
      </c>
      <c r="D13" s="68">
        <f>AVERAGE(D12,D14)</f>
        <v>1390</v>
      </c>
      <c r="E13" s="79">
        <f>AVERAGE(E12,E14)</f>
        <v>369.4</v>
      </c>
      <c r="F13" s="79">
        <f>AVERAGE(F12,F14)</f>
        <v>231</v>
      </c>
      <c r="G13" s="79">
        <f t="shared" si="0"/>
        <v>60.4521</v>
      </c>
      <c r="H13" s="79">
        <f t="shared" si="0"/>
        <v>60.4521</v>
      </c>
      <c r="I13" s="98">
        <f>'Appendix D'!$K$40+0.4*('Appendix D'!$K$44-'Appendix D'!$K$40)</f>
        <v>0.14244</v>
      </c>
      <c r="J13" s="98">
        <f>'Appendix D'!$D$42+0.4*('Appendix D'!$D$48-'Appendix D'!$D$42)</f>
        <v>0.24396</v>
      </c>
      <c r="K13" s="105">
        <f>D13*0.32831</f>
        <v>456.35089999999997</v>
      </c>
      <c r="L13" s="106">
        <f>D13*I13</f>
        <v>197.9916</v>
      </c>
      <c r="M13" s="109">
        <f>K13+L13</f>
        <v>654.3425</v>
      </c>
      <c r="N13" s="79">
        <f>F13*J13</f>
        <v>56.35476</v>
      </c>
      <c r="O13" s="79">
        <f aca="true" t="shared" si="1" ref="O13:O18">(((1-$F$5)*M13*$E$5+N13*$D$5)/($D$5*0.0000000567))^0.25</f>
        <v>306.411753410326</v>
      </c>
      <c r="P13" s="79">
        <f aca="true" t="shared" si="2" ref="P13:P18">((M13*$E$4+N13*$D$4)/($D$4*0.0000000567))^0.25</f>
        <v>290.7759021165538</v>
      </c>
    </row>
    <row r="14" spans="3:16" ht="12.75">
      <c r="C14" s="88" t="s">
        <v>37</v>
      </c>
      <c r="D14" s="84">
        <v>1420</v>
      </c>
      <c r="E14" s="96">
        <f>0.3*D14</f>
        <v>426</v>
      </c>
      <c r="F14" s="85">
        <v>244</v>
      </c>
      <c r="G14" s="82">
        <f t="shared" si="0"/>
        <v>60.4521</v>
      </c>
      <c r="H14" s="82">
        <f t="shared" si="0"/>
        <v>60.4521</v>
      </c>
      <c r="I14" s="99">
        <f>'Appendix D'!$K$40+0.4*('Appendix D'!$K$44-'Appendix D'!$K$40)</f>
        <v>0.14244</v>
      </c>
      <c r="J14" s="99">
        <f>'Appendix D'!$D$42+0.4*('Appendix D'!$D$48-'Appendix D'!$D$42)</f>
        <v>0.24396</v>
      </c>
      <c r="K14" s="104">
        <f>D14*0.32831</f>
        <v>466.2002</v>
      </c>
      <c r="L14" s="83">
        <f>D14*I14</f>
        <v>202.2648</v>
      </c>
      <c r="M14" s="108">
        <f>K14+L14</f>
        <v>668.465</v>
      </c>
      <c r="N14" s="82">
        <f>F14*J14</f>
        <v>59.52624</v>
      </c>
      <c r="O14" s="82">
        <f t="shared" si="1"/>
        <v>308.34631653857315</v>
      </c>
      <c r="P14" s="82">
        <f t="shared" si="2"/>
        <v>292.67676348266906</v>
      </c>
    </row>
    <row r="15" spans="2:16" ht="12.75">
      <c r="B15" s="130" t="s">
        <v>38</v>
      </c>
      <c r="C15" s="130"/>
      <c r="D15" s="76"/>
      <c r="E15" s="76"/>
      <c r="F15" s="76"/>
      <c r="G15" s="76"/>
      <c r="H15" s="76"/>
      <c r="I15" s="76"/>
      <c r="J15" s="76"/>
      <c r="K15" s="76"/>
      <c r="L15" s="107"/>
      <c r="M15" s="107"/>
      <c r="N15" s="74"/>
      <c r="O15" s="74"/>
      <c r="P15" s="74"/>
    </row>
    <row r="16" spans="3:16" ht="12.75">
      <c r="C16" s="89" t="s">
        <v>35</v>
      </c>
      <c r="D16" s="86">
        <v>1360</v>
      </c>
      <c r="E16" s="95">
        <f>0.23*D16</f>
        <v>312.8</v>
      </c>
      <c r="F16" s="87">
        <v>218</v>
      </c>
      <c r="G16" s="94">
        <f>(90-23)</f>
        <v>67</v>
      </c>
      <c r="H16" s="83">
        <f>67*(2/3.14159)</f>
        <v>42.653560776549455</v>
      </c>
      <c r="I16" s="100">
        <f>AVERAGE('Appendix D'!$J$40,'Appendix D'!$K$40)+0.4*(AVERAGE('Appendix D'!$J$44,'Appendix D'!$K$44)-AVERAGE('Appendix D'!$J$40,'Appendix D'!$K$40))+7/30*(AVERAGE('Appendix D'!$J$41,'Appendix D'!$K$41)+0.4*(AVERAGE('Appendix D'!$J$45,'Appendix D'!$K$45)-AVERAGE('Appendix D'!$J$41,'Appendix D'!$K$41))-AVERAGE('Appendix D'!$J$40,'Appendix D'!$K$40)+0.4*(AVERAGE('Appendix D'!$J$44,'Appendix D'!$K$44)-AVERAGE('Appendix D'!$J$40,'Appendix D'!$K$40)))</f>
        <v>0.10887666666666668</v>
      </c>
      <c r="J16" s="67">
        <f>'Appendix D'!$D$42+0.4*('Appendix D'!$D$48-'Appendix D'!$D$42)</f>
        <v>0.24396</v>
      </c>
      <c r="K16" s="104">
        <f>23/90*D16</f>
        <v>347.55555555555554</v>
      </c>
      <c r="L16" s="83">
        <f>D16*I16</f>
        <v>148.07226666666668</v>
      </c>
      <c r="M16" s="83">
        <f>K16+L16</f>
        <v>495.6278222222222</v>
      </c>
      <c r="N16" s="83">
        <f>F16*J16</f>
        <v>53.18328</v>
      </c>
      <c r="O16" s="104">
        <f t="shared" si="1"/>
        <v>287.8145481659956</v>
      </c>
      <c r="P16" s="102">
        <f t="shared" si="2"/>
        <v>273.5560747292435</v>
      </c>
    </row>
    <row r="17" spans="2:16" ht="12.75">
      <c r="B17" s="64"/>
      <c r="C17" s="66" t="s">
        <v>36</v>
      </c>
      <c r="D17" s="68">
        <f>AVERAGE(D16,D18)</f>
        <v>1390</v>
      </c>
      <c r="E17" s="79">
        <f>AVERAGE(E16,E18)</f>
        <v>369.4</v>
      </c>
      <c r="F17" s="79">
        <f>AVERAGE(F16,F18)</f>
        <v>231</v>
      </c>
      <c r="G17" s="78">
        <v>90</v>
      </c>
      <c r="H17" s="79">
        <v>90</v>
      </c>
      <c r="I17" s="98">
        <f>'Appendix D'!$L$41+0.4*('Appendix D'!$L$45-'Appendix D'!$L$41)</f>
        <v>0.00842</v>
      </c>
      <c r="J17" s="69">
        <f>'Appendix D'!$D$42+0.4*('Appendix D'!$D$48-'Appendix D'!$D$42)</f>
        <v>0.24396</v>
      </c>
      <c r="K17" s="69">
        <v>0</v>
      </c>
      <c r="L17" s="106">
        <f>D17*I17</f>
        <v>11.703800000000001</v>
      </c>
      <c r="M17" s="106">
        <f>K17+L17</f>
        <v>11.703800000000001</v>
      </c>
      <c r="N17" s="106">
        <f>F17*J17</f>
        <v>56.35476</v>
      </c>
      <c r="O17" s="105">
        <f t="shared" si="1"/>
        <v>183.49923955891637</v>
      </c>
      <c r="P17" s="103">
        <f t="shared" si="2"/>
        <v>182.28135371725028</v>
      </c>
    </row>
    <row r="18" spans="3:16" ht="12.75">
      <c r="C18" s="88" t="s">
        <v>37</v>
      </c>
      <c r="D18" s="84">
        <v>1420</v>
      </c>
      <c r="E18" s="96">
        <f>0.3*D18</f>
        <v>426</v>
      </c>
      <c r="F18" s="85">
        <v>244</v>
      </c>
      <c r="G18" s="94">
        <f>(90-23)</f>
        <v>67</v>
      </c>
      <c r="H18" s="83">
        <f>67*(2/3.14159)</f>
        <v>42.653560776549455</v>
      </c>
      <c r="I18" s="100">
        <f>AVERAGE('Appendix D'!$J$40,'Appendix D'!$K$40)+0.4*(AVERAGE('Appendix D'!$J$44,'Appendix D'!$K$44)-AVERAGE('Appendix D'!$J$40,'Appendix D'!$K$40))+7/30*(AVERAGE('Appendix D'!$J$41,'Appendix D'!$K$41)+0.4*(AVERAGE('Appendix D'!$J$45,'Appendix D'!$K$45)-AVERAGE('Appendix D'!$J$41,'Appendix D'!$K$41))-AVERAGE('Appendix D'!$J$40,'Appendix D'!$K$40)+0.4*(AVERAGE('Appendix D'!$J$44,'Appendix D'!$K$44)-AVERAGE('Appendix D'!$J$40,'Appendix D'!$K$40)))</f>
        <v>0.10887666666666668</v>
      </c>
      <c r="J18" s="72">
        <f>'Appendix D'!$D$42+0.4*('Appendix D'!$D$48-'Appendix D'!$D$42)</f>
        <v>0.24396</v>
      </c>
      <c r="K18" s="104">
        <f>23/90*D18</f>
        <v>362.88888888888886</v>
      </c>
      <c r="L18" s="83">
        <f>D18*I18</f>
        <v>154.60486666666668</v>
      </c>
      <c r="M18" s="83">
        <f>K18+L18</f>
        <v>517.4937555555555</v>
      </c>
      <c r="N18" s="83">
        <f>F18*J18</f>
        <v>59.52624</v>
      </c>
      <c r="O18" s="104">
        <f>(((1-$F$5)*M18*$E$5+N18*$D$5)/($D$5*0.0000000567))^0.25</f>
        <v>291.65071130821286</v>
      </c>
      <c r="P18" s="102">
        <f t="shared" si="2"/>
        <v>277.3542212522723</v>
      </c>
    </row>
    <row r="19" spans="2:16" ht="12.75">
      <c r="B19" s="77"/>
      <c r="C19" s="77"/>
      <c r="D19" s="77"/>
      <c r="E19" s="77"/>
      <c r="F19" s="77"/>
      <c r="G19" s="77"/>
      <c r="H19" s="77"/>
      <c r="I19" s="77"/>
      <c r="J19" s="76"/>
      <c r="K19" s="76"/>
      <c r="L19" s="74"/>
      <c r="M19" s="74"/>
      <c r="N19" s="74"/>
      <c r="O19" s="74"/>
      <c r="P19" s="74"/>
    </row>
    <row r="20" ht="12.75">
      <c r="J20" s="81"/>
    </row>
    <row r="21" ht="12.75">
      <c r="J21" s="81"/>
    </row>
    <row r="22" spans="2:16" ht="12.75">
      <c r="B22" s="132" t="s">
        <v>47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49"/>
      <c r="P22" s="149"/>
    </row>
    <row r="23" spans="2:16" ht="12.75" customHeight="1">
      <c r="B23" s="73"/>
      <c r="C23" s="80"/>
      <c r="D23" s="126" t="s">
        <v>42</v>
      </c>
      <c r="E23" s="126" t="s">
        <v>41</v>
      </c>
      <c r="F23" s="126" t="s">
        <v>44</v>
      </c>
      <c r="G23" s="133" t="s">
        <v>7</v>
      </c>
      <c r="H23" s="135" t="s">
        <v>34</v>
      </c>
      <c r="I23" s="137" t="s">
        <v>45</v>
      </c>
      <c r="J23" s="126" t="s">
        <v>46</v>
      </c>
      <c r="K23" s="131" t="s">
        <v>48</v>
      </c>
      <c r="L23" s="126" t="s">
        <v>49</v>
      </c>
      <c r="M23" s="126" t="s">
        <v>51</v>
      </c>
      <c r="N23" s="131" t="s">
        <v>50</v>
      </c>
      <c r="O23" s="126" t="s">
        <v>64</v>
      </c>
      <c r="P23" s="126" t="s">
        <v>65</v>
      </c>
    </row>
    <row r="24" spans="2:16" ht="13.5" thickBot="1">
      <c r="B24" s="128" t="s">
        <v>40</v>
      </c>
      <c r="C24" s="129"/>
      <c r="D24" s="127"/>
      <c r="E24" s="127"/>
      <c r="F24" s="127"/>
      <c r="G24" s="134"/>
      <c r="H24" s="136"/>
      <c r="I24" s="138"/>
      <c r="J24" s="127"/>
      <c r="K24" s="127"/>
      <c r="L24" s="127"/>
      <c r="M24" s="127"/>
      <c r="N24" s="127"/>
      <c r="O24" s="127"/>
      <c r="P24" s="127"/>
    </row>
    <row r="25" spans="2:16" ht="12.75">
      <c r="B25" s="130" t="s">
        <v>39</v>
      </c>
      <c r="C25" s="130"/>
      <c r="D25" s="75"/>
      <c r="E25" s="65"/>
      <c r="F25" s="75"/>
      <c r="G25" s="75"/>
      <c r="H25" s="75"/>
      <c r="I25" s="75"/>
      <c r="J25" s="75"/>
      <c r="K25" s="75"/>
      <c r="L25" s="75"/>
      <c r="M25" s="75"/>
      <c r="N25" s="75"/>
      <c r="O25" s="150" t="s">
        <v>66</v>
      </c>
      <c r="P25" s="150" t="s">
        <v>66</v>
      </c>
    </row>
    <row r="26" spans="3:16" ht="12.75">
      <c r="C26" s="89" t="s">
        <v>35</v>
      </c>
      <c r="D26" s="86">
        <v>1360</v>
      </c>
      <c r="E26" s="95">
        <f>0.23*D26</f>
        <v>312.8</v>
      </c>
      <c r="F26" s="87">
        <v>218</v>
      </c>
      <c r="G26" s="82">
        <f>90*(1-0.32831)</f>
        <v>60.4521</v>
      </c>
      <c r="H26" s="90">
        <f>90*(1-0.35046)</f>
        <v>58.458600000000004</v>
      </c>
      <c r="I26" s="97">
        <f>'Appendix D'!$D$12+0.04*('Appendix D'!$D$16-'Appendix D'!$D$12)</f>
        <v>0.42688000000000004</v>
      </c>
      <c r="J26" s="70">
        <f>('Appendix D'!$D$39+0.4*('Appendix D'!$D$45-'Appendix D'!$D$39))/3.141593</f>
        <v>0.26042838776378735</v>
      </c>
      <c r="K26" s="83">
        <f>D26*0.35046</f>
        <v>476.62559999999996</v>
      </c>
      <c r="L26" s="83">
        <f>D26*I26</f>
        <v>580.5568000000001</v>
      </c>
      <c r="M26" s="104">
        <f>K26+L26</f>
        <v>1057.1824000000001</v>
      </c>
      <c r="N26" s="83">
        <f>F26*J26</f>
        <v>56.77338853250564</v>
      </c>
      <c r="O26" s="82">
        <f>(((1-$F$5)*M26*$E$5+N26*$D$5)/($D$5*0.0000000567))^0.25</f>
        <v>341.7294780481955</v>
      </c>
      <c r="P26" s="82">
        <f>((M26*$E$4+N26*$D$4)/($D$4*0.0000000567))^0.25</f>
        <v>323.45053827204316</v>
      </c>
    </row>
    <row r="27" spans="2:16" ht="12.75">
      <c r="B27" s="64"/>
      <c r="C27" s="66" t="s">
        <v>36</v>
      </c>
      <c r="D27" s="68">
        <f>AVERAGE(D26,D28)</f>
        <v>1390</v>
      </c>
      <c r="E27" s="79">
        <f>AVERAGE(E26,E28)</f>
        <v>369.4</v>
      </c>
      <c r="F27" s="79">
        <f>AVERAGE(F26,F28)</f>
        <v>231</v>
      </c>
      <c r="G27" s="79">
        <f>90*(1-0.32831)</f>
        <v>60.4521</v>
      </c>
      <c r="H27" s="91">
        <f>90*(1-0.35046)</f>
        <v>58.458600000000004</v>
      </c>
      <c r="I27" s="98">
        <f>'Appendix D'!$D$12+0.04*('Appendix D'!$D$16-'Appendix D'!$D$12)</f>
        <v>0.42688000000000004</v>
      </c>
      <c r="J27" s="71">
        <f>('Appendix D'!$D$39+0.4*('Appendix D'!$D$45-'Appendix D'!$D$39))/3.141593</f>
        <v>0.26042838776378735</v>
      </c>
      <c r="K27" s="106">
        <f>D27*0.35046</f>
        <v>487.13939999999997</v>
      </c>
      <c r="L27" s="106">
        <f>D27*I27</f>
        <v>593.3632</v>
      </c>
      <c r="M27" s="105">
        <f>K27+L27</f>
        <v>1080.5026</v>
      </c>
      <c r="N27" s="106">
        <f>F27*J27</f>
        <v>60.158957573434876</v>
      </c>
      <c r="O27" s="79">
        <f aca="true" t="shared" si="3" ref="O27:O32">(((1-$F$5)*M27*$E$5+N27*$D$5)/($D$5*0.0000000567))^0.25</f>
        <v>343.83025600072926</v>
      </c>
      <c r="P27" s="79">
        <f>((M27*$E$4+N27*$D$4)/($D$4*0.0000000567))^0.25</f>
        <v>325.49279989484273</v>
      </c>
    </row>
    <row r="28" spans="3:16" ht="12.75">
      <c r="C28" s="88" t="s">
        <v>37</v>
      </c>
      <c r="D28" s="84">
        <v>1420</v>
      </c>
      <c r="E28" s="96">
        <f>0.3*D28</f>
        <v>426</v>
      </c>
      <c r="F28" s="85">
        <v>244</v>
      </c>
      <c r="G28" s="82">
        <f>90*(1-0.32831)</f>
        <v>60.4521</v>
      </c>
      <c r="H28" s="92">
        <f>90*(1-0.35046)</f>
        <v>58.458600000000004</v>
      </c>
      <c r="I28" s="99">
        <f>'Appendix D'!$D$12+0.04*('Appendix D'!$D$16-'Appendix D'!$D$12)</f>
        <v>0.42688000000000004</v>
      </c>
      <c r="J28" s="70">
        <f>('Appendix D'!$D$39+0.4*('Appendix D'!$D$45-'Appendix D'!$D$39))/3.141593</f>
        <v>0.26042838776378735</v>
      </c>
      <c r="K28" s="83">
        <f>D28*0.35046</f>
        <v>497.65319999999997</v>
      </c>
      <c r="L28" s="83">
        <f>D28*I28</f>
        <v>606.1696000000001</v>
      </c>
      <c r="M28" s="104">
        <f>K28+L28</f>
        <v>1103.8228</v>
      </c>
      <c r="N28" s="83">
        <f>F28*J28</f>
        <v>63.544526614364116</v>
      </c>
      <c r="O28" s="82">
        <f t="shared" si="3"/>
        <v>345.89321799769624</v>
      </c>
      <c r="P28" s="82">
        <f>((M28*$E$4+N28*$D$4)/($D$4*0.0000000567))^0.25</f>
        <v>327.4973276527588</v>
      </c>
    </row>
    <row r="29" spans="2:16" ht="12.75">
      <c r="B29" s="130" t="s">
        <v>38</v>
      </c>
      <c r="C29" s="130"/>
      <c r="D29" s="76"/>
      <c r="E29" s="76"/>
      <c r="F29" s="76"/>
      <c r="G29" s="76"/>
      <c r="H29" s="93"/>
      <c r="I29" s="76"/>
      <c r="J29" s="76"/>
      <c r="K29" s="74"/>
      <c r="L29" s="107"/>
      <c r="M29" s="107"/>
      <c r="N29" s="74"/>
      <c r="O29" s="74"/>
      <c r="P29" s="74"/>
    </row>
    <row r="30" spans="3:16" ht="12.75">
      <c r="C30" s="89" t="s">
        <v>35</v>
      </c>
      <c r="D30" s="86">
        <v>1360</v>
      </c>
      <c r="E30" s="95">
        <f>0.23*D30</f>
        <v>312.8</v>
      </c>
      <c r="F30" s="87">
        <v>218</v>
      </c>
      <c r="G30" s="94">
        <f>(90-23)</f>
        <v>67</v>
      </c>
      <c r="H30" s="90">
        <f>67*(1-1/3.14159)</f>
        <v>45.67321961172527</v>
      </c>
      <c r="I30" s="100">
        <f>'Appendix D'!$D$12+0.04*('Appendix D'!$D$16-'Appendix D'!$D$12)+7/30*('Appendix D'!$D$13+0.04*('Appendix D'!$D$17-'Appendix D'!$D$13)-'Appendix D'!$D$12+0.04*('Appendix D'!$D$16-'Appendix D'!$D$12))</f>
        <v>0.33166320000000005</v>
      </c>
      <c r="J30" s="67">
        <f>('Appendix D'!$D$39+0.4*('Appendix D'!$D$45-'Appendix D'!$D$39))/3.141593</f>
        <v>0.26042838776378735</v>
      </c>
      <c r="K30" s="83">
        <f>D30*(1/3.1459)</f>
        <v>432.3087192854191</v>
      </c>
      <c r="L30" s="83">
        <f>D30*I30</f>
        <v>451.0619520000001</v>
      </c>
      <c r="M30" s="83">
        <f>K30+L30</f>
        <v>883.3706712854191</v>
      </c>
      <c r="N30" s="83">
        <f>F30*J30</f>
        <v>56.77338853250564</v>
      </c>
      <c r="O30" s="104">
        <f t="shared" si="3"/>
        <v>327.8974298846128</v>
      </c>
      <c r="P30" s="102">
        <f>((M30*$E$4+N30*$D$4)/($D$4*0.0000000567))^0.25</f>
        <v>310.62975807794874</v>
      </c>
    </row>
    <row r="31" spans="2:16" ht="12.75">
      <c r="B31" s="64"/>
      <c r="C31" s="66" t="s">
        <v>36</v>
      </c>
      <c r="D31" s="68">
        <f>AVERAGE(D30,D32)</f>
        <v>1390</v>
      </c>
      <c r="E31" s="79">
        <f>AVERAGE(E30,E32)</f>
        <v>369.4</v>
      </c>
      <c r="F31" s="79">
        <f>AVERAGE(F30,F32)</f>
        <v>231</v>
      </c>
      <c r="G31" s="78">
        <v>90</v>
      </c>
      <c r="H31" s="91">
        <f>90*(1/3.14159)</f>
        <v>28.64791395439889</v>
      </c>
      <c r="I31" s="98">
        <f>'Appendix D'!$D$13+0.04*('Appendix D'!$D$17-'Appendix D'!$D$13)</f>
        <v>0.023648</v>
      </c>
      <c r="J31" s="69">
        <f>('Appendix D'!$D$39+0.4*('Appendix D'!$D$45-'Appendix D'!$D$39))/3.141593</f>
        <v>0.26042838776378735</v>
      </c>
      <c r="K31" s="106">
        <f>D31*(1/3.1459)</f>
        <v>441.8449410343622</v>
      </c>
      <c r="L31" s="106">
        <f>D31*I31</f>
        <v>32.87072</v>
      </c>
      <c r="M31" s="106">
        <f>K31+L31</f>
        <v>474.7156610343622</v>
      </c>
      <c r="N31" s="106">
        <f>F31*J31</f>
        <v>60.158957573434876</v>
      </c>
      <c r="O31" s="105">
        <f t="shared" si="3"/>
        <v>286.4742911226978</v>
      </c>
      <c r="P31" s="103">
        <f>((M31*$E$4+N31*$D$4)/($D$4*0.0000000567))^0.25</f>
        <v>272.65183066240536</v>
      </c>
    </row>
    <row r="32" spans="3:16" ht="12.75">
      <c r="C32" s="88" t="s">
        <v>37</v>
      </c>
      <c r="D32" s="84">
        <v>1420</v>
      </c>
      <c r="E32" s="96">
        <f>0.3*D32</f>
        <v>426</v>
      </c>
      <c r="F32" s="85">
        <v>244</v>
      </c>
      <c r="G32" s="94">
        <f>(90-23)</f>
        <v>67</v>
      </c>
      <c r="H32" s="90">
        <f>67*(1-1/3.14159)</f>
        <v>45.67321961172527</v>
      </c>
      <c r="I32" s="101">
        <f>'Appendix D'!$D$12+0.04*('Appendix D'!$D$16-'Appendix D'!$D$12)+7/30*('Appendix D'!$D$13+0.04*('Appendix D'!$D$17-'Appendix D'!$D$13)-'Appendix D'!$D$12+0.04*('Appendix D'!$D$16-'Appendix D'!$D$12))</f>
        <v>0.33166320000000005</v>
      </c>
      <c r="J32" s="72">
        <f>('Appendix D'!$D$39+0.4*('Appendix D'!$D$45-'Appendix D'!$D$39))/3.141593</f>
        <v>0.26042838776378735</v>
      </c>
      <c r="K32" s="83">
        <f>D32*(1/3.1459)</f>
        <v>451.38116278330523</v>
      </c>
      <c r="L32" s="83">
        <f>D32*I32</f>
        <v>470.96174400000007</v>
      </c>
      <c r="M32" s="83">
        <f>K32+L32</f>
        <v>922.3429067833054</v>
      </c>
      <c r="N32" s="83">
        <f>F32*J32</f>
        <v>63.544526614364116</v>
      </c>
      <c r="O32" s="104">
        <f t="shared" si="3"/>
        <v>331.9709941926453</v>
      </c>
      <c r="P32" s="102">
        <f>((M32*$E$4+N32*$D$4)/($D$4*0.0000000567))^0.25</f>
        <v>314.606418035198</v>
      </c>
    </row>
    <row r="33" spans="2:16" ht="12.7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</sheetData>
  <sheetProtection/>
  <mergeCells count="34">
    <mergeCell ref="P9:P10"/>
    <mergeCell ref="O23:O24"/>
    <mergeCell ref="P23:P24"/>
    <mergeCell ref="H9:H10"/>
    <mergeCell ref="B15:C15"/>
    <mergeCell ref="B11:C11"/>
    <mergeCell ref="D9:D10"/>
    <mergeCell ref="B10:C10"/>
    <mergeCell ref="O9:O10"/>
    <mergeCell ref="A1:B1"/>
    <mergeCell ref="K9:K10"/>
    <mergeCell ref="L9:L10"/>
    <mergeCell ref="N9:N10"/>
    <mergeCell ref="N23:N24"/>
    <mergeCell ref="M9:M10"/>
    <mergeCell ref="M23:M24"/>
    <mergeCell ref="I9:I10"/>
    <mergeCell ref="J9:J10"/>
    <mergeCell ref="G9:G10"/>
    <mergeCell ref="B22:N22"/>
    <mergeCell ref="D23:D24"/>
    <mergeCell ref="E23:E24"/>
    <mergeCell ref="F23:F24"/>
    <mergeCell ref="G23:G24"/>
    <mergeCell ref="H23:H24"/>
    <mergeCell ref="I23:I24"/>
    <mergeCell ref="E9:E10"/>
    <mergeCell ref="F9:F10"/>
    <mergeCell ref="J23:J24"/>
    <mergeCell ref="B24:C24"/>
    <mergeCell ref="B25:C25"/>
    <mergeCell ref="B29:C29"/>
    <mergeCell ref="K23:K24"/>
    <mergeCell ref="L23:L24"/>
  </mergeCells>
  <printOptions/>
  <pageMargins left="0.7" right="0.7" top="0.75" bottom="0.75" header="0.3" footer="0.3"/>
  <pageSetup horizontalDpi="300" verticalDpi="300" orientation="portrait" r:id="rId1"/>
  <ignoredErrors>
    <ignoredError sqref="H31:I31 I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V36"/>
  <sheetViews>
    <sheetView zoomScalePageLayoutView="0" workbookViewId="0" topLeftCell="A1">
      <selection activeCell="C5" sqref="C5:K5"/>
    </sheetView>
  </sheetViews>
  <sheetFormatPr defaultColWidth="9.140625" defaultRowHeight="12.75"/>
  <sheetData>
    <row r="2" spans="2:22" ht="13.5" thickBot="1">
      <c r="B2" s="144"/>
      <c r="C2" s="144"/>
      <c r="D2" s="144"/>
      <c r="E2" s="144"/>
      <c r="F2" s="144"/>
      <c r="G2" s="144"/>
      <c r="H2" s="144"/>
      <c r="I2" s="144"/>
      <c r="J2" s="144"/>
      <c r="K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2:22" ht="12.75">
      <c r="B3" s="141" t="s">
        <v>52</v>
      </c>
      <c r="C3" s="141"/>
      <c r="D3" s="141"/>
      <c r="E3" s="141"/>
      <c r="F3" s="141"/>
      <c r="G3" s="141"/>
      <c r="H3" s="141"/>
      <c r="I3" s="141"/>
      <c r="J3" s="141"/>
      <c r="K3" s="141"/>
      <c r="M3" s="141" t="s">
        <v>53</v>
      </c>
      <c r="N3" s="141"/>
      <c r="O3" s="141"/>
      <c r="P3" s="141"/>
      <c r="Q3" s="141"/>
      <c r="R3" s="141"/>
      <c r="S3" s="141"/>
      <c r="T3" s="141"/>
      <c r="U3" s="141"/>
      <c r="V3" s="141"/>
    </row>
    <row r="4" spans="2:22" ht="12.75">
      <c r="B4" s="141"/>
      <c r="C4" s="141"/>
      <c r="D4" s="141"/>
      <c r="E4" s="141"/>
      <c r="F4" s="141"/>
      <c r="G4" s="141"/>
      <c r="H4" s="141"/>
      <c r="I4" s="141"/>
      <c r="J4" s="141"/>
      <c r="K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2:22" ht="15">
      <c r="B5" s="142" t="s">
        <v>54</v>
      </c>
      <c r="C5" s="143" t="s">
        <v>55</v>
      </c>
      <c r="D5" s="143"/>
      <c r="E5" s="143"/>
      <c r="F5" s="143"/>
      <c r="G5" s="143"/>
      <c r="H5" s="143"/>
      <c r="I5" s="143"/>
      <c r="J5" s="143"/>
      <c r="K5" s="143"/>
      <c r="M5" s="142" t="s">
        <v>54</v>
      </c>
      <c r="N5" s="143" t="s">
        <v>55</v>
      </c>
      <c r="O5" s="143"/>
      <c r="P5" s="143"/>
      <c r="Q5" s="143"/>
      <c r="R5" s="143"/>
      <c r="S5" s="143"/>
      <c r="T5" s="143"/>
      <c r="U5" s="143"/>
      <c r="V5" s="143"/>
    </row>
    <row r="6" spans="2:22" ht="15.75" thickBot="1">
      <c r="B6" s="142"/>
      <c r="C6" s="110">
        <v>10</v>
      </c>
      <c r="D6" s="110">
        <v>20</v>
      </c>
      <c r="E6" s="110">
        <v>50</v>
      </c>
      <c r="F6" s="110">
        <v>80</v>
      </c>
      <c r="G6" s="110">
        <v>100</v>
      </c>
      <c r="H6" s="110">
        <v>200</v>
      </c>
      <c r="I6" s="110">
        <v>500</v>
      </c>
      <c r="J6" s="110">
        <v>800</v>
      </c>
      <c r="K6" s="110">
        <v>1000</v>
      </c>
      <c r="M6" s="142"/>
      <c r="N6" s="110">
        <v>10</v>
      </c>
      <c r="O6" s="110">
        <v>20</v>
      </c>
      <c r="P6" s="110">
        <v>50</v>
      </c>
      <c r="Q6" s="110">
        <v>80</v>
      </c>
      <c r="R6" s="110">
        <v>100</v>
      </c>
      <c r="S6" s="110">
        <v>200</v>
      </c>
      <c r="T6" s="110">
        <v>500</v>
      </c>
      <c r="U6" s="110">
        <v>800</v>
      </c>
      <c r="V6" s="110">
        <v>1000</v>
      </c>
    </row>
    <row r="7" spans="2:22" ht="15">
      <c r="B7" s="111">
        <v>0</v>
      </c>
      <c r="C7" s="102">
        <f aca="true" t="shared" si="0" ref="C7:K17">((1366+$B7)/(0.0000000567*C$6*0.004652626))^0.25-273</f>
        <v>575.2861460370724</v>
      </c>
      <c r="D7" s="102">
        <f t="shared" si="0"/>
        <v>440.32077931196284</v>
      </c>
      <c r="E7" s="102">
        <f t="shared" si="0"/>
        <v>294.28313600810554</v>
      </c>
      <c r="F7" s="102">
        <f t="shared" si="0"/>
        <v>231.3939602127616</v>
      </c>
      <c r="G7" s="102">
        <f t="shared" si="0"/>
        <v>204.02635550310117</v>
      </c>
      <c r="H7" s="102">
        <f t="shared" si="0"/>
        <v>128.12975232410196</v>
      </c>
      <c r="I7" s="102">
        <f t="shared" si="0"/>
        <v>46.00675046093505</v>
      </c>
      <c r="J7" s="102">
        <f t="shared" si="0"/>
        <v>10.641568004052772</v>
      </c>
      <c r="K7" s="102">
        <f t="shared" si="0"/>
        <v>-4.748367095663582</v>
      </c>
      <c r="M7" s="111">
        <v>0</v>
      </c>
      <c r="N7" s="102">
        <f>((1084+$B7)/(0.0000000567*N$6*0.004652626))^0.25-273</f>
        <v>527.6395139045827</v>
      </c>
      <c r="O7" s="102">
        <f aca="true" t="shared" si="1" ref="O7:V17">((1084+$B7)/(0.0000000567*O$6*0.004652626))^0.25-273</f>
        <v>400.2548971528404</v>
      </c>
      <c r="P7" s="102">
        <f t="shared" si="1"/>
        <v>262.419912704725</v>
      </c>
      <c r="Q7" s="102">
        <f t="shared" si="1"/>
        <v>203.06310324382508</v>
      </c>
      <c r="R7" s="102">
        <f t="shared" si="1"/>
        <v>177.23268524886026</v>
      </c>
      <c r="S7" s="102">
        <f t="shared" si="1"/>
        <v>105.59905105582038</v>
      </c>
      <c r="T7" s="102">
        <f t="shared" si="1"/>
        <v>28.088743243676277</v>
      </c>
      <c r="U7" s="102">
        <f t="shared" si="1"/>
        <v>-5.2900436476375035</v>
      </c>
      <c r="V7" s="102">
        <f t="shared" si="1"/>
        <v>-19.81555513314666</v>
      </c>
    </row>
    <row r="8" spans="2:22" ht="15">
      <c r="B8" s="112">
        <v>1</v>
      </c>
      <c r="C8" s="113">
        <f t="shared" si="0"/>
        <v>575.4413534621078</v>
      </c>
      <c r="D8" s="113">
        <f t="shared" si="0"/>
        <v>440.4512926792959</v>
      </c>
      <c r="E8" s="113">
        <f t="shared" si="0"/>
        <v>294.38692946885794</v>
      </c>
      <c r="F8" s="113">
        <f t="shared" si="0"/>
        <v>231.48624709983835</v>
      </c>
      <c r="G8" s="113">
        <f t="shared" si="0"/>
        <v>204.11363505217497</v>
      </c>
      <c r="H8" s="113">
        <f t="shared" si="0"/>
        <v>128.20314538404273</v>
      </c>
      <c r="I8" s="113">
        <f t="shared" si="0"/>
        <v>46.06511781320086</v>
      </c>
      <c r="J8" s="113">
        <f>((1366+$B8)/(0.0000000567*J$6*0.004652626))^0.25-273</f>
        <v>10.693464734429199</v>
      </c>
      <c r="K8" s="113">
        <f t="shared" si="0"/>
        <v>-4.699286198375432</v>
      </c>
      <c r="M8" s="112">
        <v>1</v>
      </c>
      <c r="N8" s="113">
        <f aca="true" t="shared" si="2" ref="N8:N17">((1084+$B8)/(0.0000000567*N$6*0.004652626))^0.25-273</f>
        <v>527.8240993955555</v>
      </c>
      <c r="O8" s="113">
        <f t="shared" si="1"/>
        <v>400.4101144305067</v>
      </c>
      <c r="P8" s="113">
        <f t="shared" si="1"/>
        <v>262.5433524622524</v>
      </c>
      <c r="Q8" s="113">
        <f t="shared" si="1"/>
        <v>203.17285843342023</v>
      </c>
      <c r="R8" s="113">
        <f t="shared" si="1"/>
        <v>177.33648529846442</v>
      </c>
      <c r="S8" s="113">
        <f t="shared" si="1"/>
        <v>105.68633614543603</v>
      </c>
      <c r="T8" s="113">
        <f t="shared" si="1"/>
        <v>28.15815852050514</v>
      </c>
      <c r="U8" s="113">
        <f t="shared" si="1"/>
        <v>-5.228323768873793</v>
      </c>
      <c r="V8" s="113">
        <f t="shared" si="1"/>
        <v>-19.75718407569721</v>
      </c>
    </row>
    <row r="9" spans="2:22" ht="15">
      <c r="B9" s="111">
        <v>10</v>
      </c>
      <c r="C9" s="102">
        <f t="shared" si="0"/>
        <v>576.8344024252459</v>
      </c>
      <c r="D9" s="102">
        <f t="shared" si="0"/>
        <v>441.62270255867156</v>
      </c>
      <c r="E9" s="102">
        <f t="shared" si="0"/>
        <v>295.3185174573139</v>
      </c>
      <c r="F9" s="102">
        <f t="shared" si="0"/>
        <v>232.3145589690938</v>
      </c>
      <c r="G9" s="102">
        <f t="shared" si="0"/>
        <v>204.89700405216104</v>
      </c>
      <c r="H9" s="102">
        <f t="shared" si="0"/>
        <v>128.86187756795192</v>
      </c>
      <c r="I9" s="102">
        <f t="shared" si="0"/>
        <v>46.58898823716066</v>
      </c>
      <c r="J9" s="102">
        <f t="shared" si="0"/>
        <v>11.159258728656937</v>
      </c>
      <c r="K9" s="102">
        <f t="shared" si="0"/>
        <v>-4.258765436810222</v>
      </c>
      <c r="M9" s="111">
        <v>10</v>
      </c>
      <c r="N9" s="102">
        <f t="shared" si="2"/>
        <v>529.4796536297227</v>
      </c>
      <c r="O9" s="102">
        <f t="shared" si="1"/>
        <v>401.8022640512761</v>
      </c>
      <c r="P9" s="102">
        <f t="shared" si="1"/>
        <v>263.65048830571436</v>
      </c>
      <c r="Q9" s="102">
        <f t="shared" si="1"/>
        <v>204.1572568706925</v>
      </c>
      <c r="R9" s="102">
        <f t="shared" si="1"/>
        <v>178.26747186043048</v>
      </c>
      <c r="S9" s="102">
        <f t="shared" si="1"/>
        <v>106.46919940804264</v>
      </c>
      <c r="T9" s="102">
        <f t="shared" si="1"/>
        <v>28.780746757883264</v>
      </c>
      <c r="U9" s="102">
        <f t="shared" si="1"/>
        <v>-4.674755847142819</v>
      </c>
      <c r="V9" s="102">
        <f t="shared" si="1"/>
        <v>-19.23365185870702</v>
      </c>
    </row>
    <row r="10" spans="2:22" ht="15">
      <c r="B10" s="112">
        <v>20</v>
      </c>
      <c r="C10" s="113">
        <f t="shared" si="0"/>
        <v>578.3742427710866</v>
      </c>
      <c r="D10" s="113">
        <f t="shared" si="0"/>
        <v>442.91754878555207</v>
      </c>
      <c r="E10" s="113">
        <f t="shared" si="0"/>
        <v>296.34827075980695</v>
      </c>
      <c r="F10" s="113">
        <f t="shared" si="0"/>
        <v>233.23015351671484</v>
      </c>
      <c r="G10" s="113">
        <f t="shared" si="0"/>
        <v>205.76291991282272</v>
      </c>
      <c r="H10" s="113">
        <f t="shared" si="0"/>
        <v>129.590023111094</v>
      </c>
      <c r="I10" s="113">
        <f t="shared" si="0"/>
        <v>47.1680610739034</v>
      </c>
      <c r="J10" s="113">
        <f t="shared" si="0"/>
        <v>11.674135379903475</v>
      </c>
      <c r="K10" s="113">
        <f t="shared" si="0"/>
        <v>-3.7718251642223777</v>
      </c>
      <c r="M10" s="112">
        <v>20</v>
      </c>
      <c r="N10" s="113">
        <f t="shared" si="2"/>
        <v>531.3072210410986</v>
      </c>
      <c r="O10" s="113">
        <f t="shared" si="1"/>
        <v>403.33905893613655</v>
      </c>
      <c r="P10" s="113">
        <f t="shared" si="1"/>
        <v>264.87265629376236</v>
      </c>
      <c r="Q10" s="113">
        <f t="shared" si="1"/>
        <v>205.24393495507013</v>
      </c>
      <c r="R10" s="113">
        <f t="shared" si="1"/>
        <v>179.29518854041828</v>
      </c>
      <c r="S10" s="113">
        <f t="shared" si="1"/>
        <v>107.33340268014052</v>
      </c>
      <c r="T10" s="113">
        <f t="shared" si="1"/>
        <v>29.46802232388768</v>
      </c>
      <c r="U10" s="113">
        <f t="shared" si="1"/>
        <v>-4.063671853118819</v>
      </c>
      <c r="V10" s="113">
        <f t="shared" si="1"/>
        <v>-18.65572429896247</v>
      </c>
    </row>
    <row r="11" spans="2:22" ht="15">
      <c r="B11" s="111">
        <v>50</v>
      </c>
      <c r="C11" s="102">
        <f t="shared" si="0"/>
        <v>582.9443169794762</v>
      </c>
      <c r="D11" s="102">
        <f t="shared" si="0"/>
        <v>446.76050780483104</v>
      </c>
      <c r="E11" s="102">
        <f t="shared" si="0"/>
        <v>299.4044635796903</v>
      </c>
      <c r="F11" s="102">
        <f t="shared" si="0"/>
        <v>235.94753589906895</v>
      </c>
      <c r="G11" s="102">
        <f>((1366+$B11)/(0.0000000567*G$6*0.004652626))^0.25-273</f>
        <v>208.33286149938715</v>
      </c>
      <c r="H11" s="102">
        <f t="shared" si="0"/>
        <v>131.75107777864713</v>
      </c>
      <c r="I11" s="102">
        <f t="shared" si="0"/>
        <v>48.886684594273845</v>
      </c>
      <c r="J11" s="102">
        <f t="shared" si="0"/>
        <v>13.202231789845143</v>
      </c>
      <c r="K11" s="102">
        <f t="shared" si="0"/>
        <v>-2.326640806771934</v>
      </c>
      <c r="M11" s="111">
        <v>50</v>
      </c>
      <c r="N11" s="102">
        <f t="shared" si="2"/>
        <v>536.7164513154574</v>
      </c>
      <c r="O11" s="102">
        <f t="shared" si="1"/>
        <v>407.8876612831267</v>
      </c>
      <c r="P11" s="102">
        <f t="shared" si="1"/>
        <v>268.4900265971248</v>
      </c>
      <c r="Q11" s="102">
        <f t="shared" si="1"/>
        <v>208.46028251954795</v>
      </c>
      <c r="R11" s="102">
        <f t="shared" si="1"/>
        <v>182.337022261161</v>
      </c>
      <c r="S11" s="102">
        <f t="shared" si="1"/>
        <v>109.89126975171092</v>
      </c>
      <c r="T11" s="102">
        <f t="shared" si="1"/>
        <v>31.502219133984738</v>
      </c>
      <c r="U11" s="102">
        <f t="shared" si="1"/>
        <v>-2.2549867014376446</v>
      </c>
      <c r="V11" s="102">
        <f t="shared" si="1"/>
        <v>-16.94517549343135</v>
      </c>
    </row>
    <row r="12" spans="2:22" ht="15">
      <c r="B12" s="112">
        <v>80</v>
      </c>
      <c r="C12" s="113">
        <f t="shared" si="0"/>
        <v>587.4423400273474</v>
      </c>
      <c r="D12" s="113">
        <f t="shared" si="0"/>
        <v>450.5428792615138</v>
      </c>
      <c r="E12" s="113">
        <f t="shared" si="0"/>
        <v>302.4124728845146</v>
      </c>
      <c r="F12" s="113">
        <f t="shared" si="0"/>
        <v>238.6220764050558</v>
      </c>
      <c r="G12" s="113">
        <f t="shared" si="0"/>
        <v>210.86228574086334</v>
      </c>
      <c r="H12" s="113">
        <f t="shared" si="0"/>
        <v>133.8780615559607</v>
      </c>
      <c r="I12" s="113">
        <f t="shared" si="0"/>
        <v>50.57821253293366</v>
      </c>
      <c r="J12" s="113">
        <f t="shared" si="0"/>
        <v>14.706236442257307</v>
      </c>
      <c r="K12" s="113">
        <f t="shared" si="0"/>
        <v>-0.9042410268516505</v>
      </c>
      <c r="M12" s="112">
        <v>80</v>
      </c>
      <c r="N12" s="113">
        <f t="shared" si="2"/>
        <v>542.0193964458226</v>
      </c>
      <c r="O12" s="113">
        <f t="shared" si="1"/>
        <v>412.34688883353795</v>
      </c>
      <c r="P12" s="113">
        <f t="shared" si="1"/>
        <v>272.0363197408785</v>
      </c>
      <c r="Q12" s="113">
        <f t="shared" si="1"/>
        <v>211.61343255929762</v>
      </c>
      <c r="R12" s="113">
        <f t="shared" si="1"/>
        <v>185.31908745318225</v>
      </c>
      <c r="S12" s="113">
        <f t="shared" si="1"/>
        <v>112.39887768173452</v>
      </c>
      <c r="T12" s="113">
        <f t="shared" si="1"/>
        <v>33.49644631995659</v>
      </c>
      <c r="U12" s="113">
        <f t="shared" si="1"/>
        <v>-0.48184012956056677</v>
      </c>
      <c r="V12" s="113">
        <f t="shared" si="1"/>
        <v>-15.268237001546083</v>
      </c>
    </row>
    <row r="13" spans="2:22" ht="15">
      <c r="B13" s="111">
        <v>100</v>
      </c>
      <c r="C13" s="102">
        <f t="shared" si="0"/>
        <v>590.402281705979</v>
      </c>
      <c r="D13" s="102">
        <f t="shared" si="0"/>
        <v>453.0318836084359</v>
      </c>
      <c r="E13" s="102">
        <f t="shared" si="0"/>
        <v>304.3919051853952</v>
      </c>
      <c r="F13" s="102">
        <f t="shared" si="0"/>
        <v>240.38206825716713</v>
      </c>
      <c r="G13" s="102">
        <f t="shared" si="0"/>
        <v>212.5267832669112</v>
      </c>
      <c r="H13" s="102">
        <f t="shared" si="0"/>
        <v>135.277731558813</v>
      </c>
      <c r="I13" s="102">
        <f t="shared" si="0"/>
        <v>51.69132911613542</v>
      </c>
      <c r="J13" s="102">
        <f t="shared" si="0"/>
        <v>15.695952592697552</v>
      </c>
      <c r="K13" s="102">
        <f t="shared" si="0"/>
        <v>0.03177471772244189</v>
      </c>
      <c r="M13" s="111">
        <v>100</v>
      </c>
      <c r="N13" s="102">
        <f t="shared" si="2"/>
        <v>545.4980047078575</v>
      </c>
      <c r="O13" s="102">
        <f t="shared" si="1"/>
        <v>415.2720380511556</v>
      </c>
      <c r="P13" s="102">
        <f t="shared" si="1"/>
        <v>274.36260529092567</v>
      </c>
      <c r="Q13" s="102">
        <f t="shared" si="1"/>
        <v>213.6818254070576</v>
      </c>
      <c r="R13" s="102">
        <f t="shared" si="1"/>
        <v>187.27525263307302</v>
      </c>
      <c r="S13" s="102">
        <f t="shared" si="1"/>
        <v>114.0438099691491</v>
      </c>
      <c r="T13" s="102">
        <f t="shared" si="1"/>
        <v>34.804612818940996</v>
      </c>
      <c r="U13" s="102">
        <f t="shared" si="1"/>
        <v>0.6813026454627789</v>
      </c>
      <c r="V13" s="102">
        <f t="shared" si="1"/>
        <v>-14.168204481994849</v>
      </c>
    </row>
    <row r="14" spans="2:22" ht="15">
      <c r="B14" s="112">
        <v>200</v>
      </c>
      <c r="C14" s="113">
        <f t="shared" si="0"/>
        <v>604.7637450529186</v>
      </c>
      <c r="D14" s="113">
        <f t="shared" si="0"/>
        <v>465.108386654675</v>
      </c>
      <c r="E14" s="113">
        <f t="shared" si="0"/>
        <v>313.99599456393526</v>
      </c>
      <c r="F14" s="113">
        <f t="shared" si="0"/>
        <v>248.92144545418284</v>
      </c>
      <c r="G14" s="113">
        <f t="shared" si="0"/>
        <v>220.60282759710225</v>
      </c>
      <c r="H14" s="113">
        <f t="shared" si="0"/>
        <v>142.0688482855004</v>
      </c>
      <c r="I14" s="113">
        <f t="shared" si="0"/>
        <v>57.09210546451021</v>
      </c>
      <c r="J14" s="113">
        <f t="shared" si="0"/>
        <v>20.49799728196757</v>
      </c>
      <c r="K14" s="113">
        <f t="shared" si="0"/>
        <v>4.573268188657835</v>
      </c>
      <c r="M14" s="112">
        <v>200</v>
      </c>
      <c r="N14" s="113">
        <f t="shared" si="2"/>
        <v>562.2585989684511</v>
      </c>
      <c r="O14" s="113">
        <f t="shared" si="1"/>
        <v>429.3659616824108</v>
      </c>
      <c r="P14" s="113">
        <f t="shared" si="1"/>
        <v>285.57109020834105</v>
      </c>
      <c r="Q14" s="113">
        <f t="shared" si="1"/>
        <v>223.64773438024343</v>
      </c>
      <c r="R14" s="113">
        <f t="shared" si="1"/>
        <v>196.7004274205534</v>
      </c>
      <c r="S14" s="113">
        <f>((1084+$B14)/(0.0000000567*S$6*0.004652626))^0.25-273</f>
        <v>121.96940566108071</v>
      </c>
      <c r="T14" s="113">
        <f t="shared" si="1"/>
        <v>41.107607080776745</v>
      </c>
      <c r="U14" s="113">
        <f t="shared" si="1"/>
        <v>6.285545104170524</v>
      </c>
      <c r="V14" s="113">
        <f t="shared" si="1"/>
        <v>-8.868039201852696</v>
      </c>
    </row>
    <row r="15" spans="2:22" ht="15">
      <c r="B15" s="111">
        <v>500</v>
      </c>
      <c r="C15" s="102">
        <f t="shared" si="0"/>
        <v>644.0808172123748</v>
      </c>
      <c r="D15" s="102">
        <f t="shared" si="0"/>
        <v>498.1699716918333</v>
      </c>
      <c r="E15" s="102">
        <f t="shared" si="0"/>
        <v>340.28890539063</v>
      </c>
      <c r="F15" s="102">
        <f t="shared" si="0"/>
        <v>272.2995164307332</v>
      </c>
      <c r="G15" s="102">
        <f t="shared" si="0"/>
        <v>242.71244205785547</v>
      </c>
      <c r="H15" s="102">
        <f t="shared" si="0"/>
        <v>160.66074382818942</v>
      </c>
      <c r="I15" s="102">
        <f t="shared" si="0"/>
        <v>71.87769578190569</v>
      </c>
      <c r="J15" s="102">
        <f t="shared" si="0"/>
        <v>33.64445269531495</v>
      </c>
      <c r="K15" s="102">
        <f t="shared" si="0"/>
        <v>17.006418083965457</v>
      </c>
      <c r="M15" s="111">
        <v>500</v>
      </c>
      <c r="N15" s="102">
        <f t="shared" si="2"/>
        <v>607.275254966533</v>
      </c>
      <c r="O15" s="102">
        <f t="shared" si="1"/>
        <v>467.2203063379069</v>
      </c>
      <c r="P15" s="102">
        <f t="shared" si="1"/>
        <v>315.67554246951704</v>
      </c>
      <c r="Q15" s="102">
        <f t="shared" si="1"/>
        <v>250.4147981835174</v>
      </c>
      <c r="R15" s="102">
        <f t="shared" si="1"/>
        <v>222.01515341015244</v>
      </c>
      <c r="S15" s="102">
        <f t="shared" si="1"/>
        <v>143.25646799886493</v>
      </c>
      <c r="T15" s="102">
        <f t="shared" si="1"/>
        <v>58.03658465945574</v>
      </c>
      <c r="U15" s="102">
        <f t="shared" si="1"/>
        <v>21.33777123475852</v>
      </c>
      <c r="V15" s="102">
        <f t="shared" si="1"/>
        <v>5.367477357968994</v>
      </c>
    </row>
    <row r="16" spans="2:22" ht="15">
      <c r="B16" s="112">
        <v>800</v>
      </c>
      <c r="C16" s="113">
        <f t="shared" si="0"/>
        <v>678.9065441806152</v>
      </c>
      <c r="D16" s="113">
        <f t="shared" si="0"/>
        <v>527.4548006580313</v>
      </c>
      <c r="E16" s="113">
        <f t="shared" si="0"/>
        <v>363.57827266439665</v>
      </c>
      <c r="F16" s="113">
        <f t="shared" si="0"/>
        <v>293.0070175786201</v>
      </c>
      <c r="G16" s="113">
        <f t="shared" si="0"/>
        <v>262.29638751189304</v>
      </c>
      <c r="H16" s="113">
        <f t="shared" si="0"/>
        <v>177.12881335701394</v>
      </c>
      <c r="I16" s="113">
        <f t="shared" si="0"/>
        <v>84.97426943748007</v>
      </c>
      <c r="J16" s="113">
        <f t="shared" si="0"/>
        <v>45.289136332198325</v>
      </c>
      <c r="K16" s="113">
        <f t="shared" si="0"/>
        <v>28.019279923044508</v>
      </c>
      <c r="M16" s="112">
        <v>800</v>
      </c>
      <c r="N16" s="113">
        <f t="shared" si="2"/>
        <v>646.2844714251468</v>
      </c>
      <c r="O16" s="113">
        <f t="shared" si="1"/>
        <v>500.0230166198113</v>
      </c>
      <c r="P16" s="113">
        <f t="shared" si="1"/>
        <v>341.7625777809417</v>
      </c>
      <c r="Q16" s="113">
        <f t="shared" si="1"/>
        <v>273.60981706514974</v>
      </c>
      <c r="R16" s="113">
        <f t="shared" si="1"/>
        <v>243.95164788812644</v>
      </c>
      <c r="S16" s="113">
        <f t="shared" si="1"/>
        <v>161.7027875686262</v>
      </c>
      <c r="T16" s="113">
        <f t="shared" si="1"/>
        <v>72.70640266676969</v>
      </c>
      <c r="U16" s="113">
        <f t="shared" si="1"/>
        <v>34.381288890470785</v>
      </c>
      <c r="V16" s="113">
        <f t="shared" si="1"/>
        <v>17.703274732743694</v>
      </c>
    </row>
    <row r="17" spans="2:22" ht="15">
      <c r="B17" s="111">
        <v>1000</v>
      </c>
      <c r="C17" s="102">
        <f t="shared" si="0"/>
        <v>700.158061268207</v>
      </c>
      <c r="D17" s="102">
        <f t="shared" si="0"/>
        <v>545.3251251956904</v>
      </c>
      <c r="E17" s="102">
        <f t="shared" si="0"/>
        <v>377.7900186827645</v>
      </c>
      <c r="F17" s="102">
        <f t="shared" si="0"/>
        <v>305.6432452412031</v>
      </c>
      <c r="G17" s="102">
        <f t="shared" si="0"/>
        <v>274.24699379323476</v>
      </c>
      <c r="H17" s="102">
        <f t="shared" si="0"/>
        <v>187.17803533910273</v>
      </c>
      <c r="I17" s="102">
        <f t="shared" si="0"/>
        <v>92.9661215267177</v>
      </c>
      <c r="J17" s="102">
        <f t="shared" si="0"/>
        <v>52.395009341382206</v>
      </c>
      <c r="K17" s="102">
        <f t="shared" si="0"/>
        <v>34.7395996961223</v>
      </c>
      <c r="M17" s="111">
        <v>1000</v>
      </c>
      <c r="N17" s="102">
        <f t="shared" si="2"/>
        <v>669.7664697833804</v>
      </c>
      <c r="O17" s="102">
        <f t="shared" si="1"/>
        <v>519.7689448622443</v>
      </c>
      <c r="P17" s="102">
        <f t="shared" si="1"/>
        <v>357.4659365244828</v>
      </c>
      <c r="Q17" s="102">
        <f t="shared" si="1"/>
        <v>287.5722968261972</v>
      </c>
      <c r="R17" s="102">
        <f t="shared" si="1"/>
        <v>257.15654596301374</v>
      </c>
      <c r="S17" s="102">
        <f t="shared" si="1"/>
        <v>172.80673902358916</v>
      </c>
      <c r="T17" s="102">
        <f t="shared" si="1"/>
        <v>81.53705023255202</v>
      </c>
      <c r="U17" s="102">
        <f t="shared" si="1"/>
        <v>42.23296826224134</v>
      </c>
      <c r="V17" s="102">
        <f t="shared" si="1"/>
        <v>25.128934615179276</v>
      </c>
    </row>
    <row r="18" spans="2:22" ht="13.5" thickBot="1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</row>
    <row r="21" spans="2:22" ht="12.75">
      <c r="B21" s="141" t="s">
        <v>56</v>
      </c>
      <c r="C21" s="141"/>
      <c r="D21" s="141"/>
      <c r="E21" s="141"/>
      <c r="F21" s="141"/>
      <c r="G21" s="141"/>
      <c r="H21" s="141"/>
      <c r="I21" s="141"/>
      <c r="J21" s="141"/>
      <c r="K21" s="141"/>
      <c r="M21" s="141" t="s">
        <v>57</v>
      </c>
      <c r="N21" s="141"/>
      <c r="O21" s="141"/>
      <c r="P21" s="141"/>
      <c r="Q21" s="141"/>
      <c r="R21" s="141"/>
      <c r="S21" s="141"/>
      <c r="T21" s="141"/>
      <c r="U21" s="141"/>
      <c r="V21" s="141"/>
    </row>
    <row r="22" spans="2:22" ht="12.75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</row>
    <row r="23" spans="2:22" ht="15">
      <c r="B23" s="142" t="s">
        <v>54</v>
      </c>
      <c r="C23" s="143" t="s">
        <v>55</v>
      </c>
      <c r="D23" s="143"/>
      <c r="E23" s="143"/>
      <c r="F23" s="143"/>
      <c r="G23" s="143"/>
      <c r="H23" s="143"/>
      <c r="I23" s="143"/>
      <c r="J23" s="143"/>
      <c r="K23" s="143"/>
      <c r="M23" s="142" t="s">
        <v>54</v>
      </c>
      <c r="N23" s="143" t="s">
        <v>55</v>
      </c>
      <c r="O23" s="143"/>
      <c r="P23" s="143"/>
      <c r="Q23" s="143"/>
      <c r="R23" s="143"/>
      <c r="S23" s="143"/>
      <c r="T23" s="143"/>
      <c r="U23" s="143"/>
      <c r="V23" s="143"/>
    </row>
    <row r="24" spans="2:22" ht="15.75" thickBot="1">
      <c r="B24" s="142"/>
      <c r="C24" s="110">
        <v>10</v>
      </c>
      <c r="D24" s="110">
        <v>20</v>
      </c>
      <c r="E24" s="110">
        <v>50</v>
      </c>
      <c r="F24" s="110">
        <v>80</v>
      </c>
      <c r="G24" s="110">
        <v>100</v>
      </c>
      <c r="H24" s="110">
        <v>200</v>
      </c>
      <c r="I24" s="110">
        <v>500</v>
      </c>
      <c r="J24" s="110">
        <v>800</v>
      </c>
      <c r="K24" s="110">
        <v>1000</v>
      </c>
      <c r="M24" s="142"/>
      <c r="N24" s="110">
        <v>10</v>
      </c>
      <c r="O24" s="110">
        <v>20</v>
      </c>
      <c r="P24" s="110">
        <v>50</v>
      </c>
      <c r="Q24" s="110">
        <v>80</v>
      </c>
      <c r="R24" s="110">
        <v>100</v>
      </c>
      <c r="S24" s="110">
        <v>200</v>
      </c>
      <c r="T24" s="110">
        <v>500</v>
      </c>
      <c r="U24" s="110">
        <v>800</v>
      </c>
      <c r="V24" s="110">
        <v>1000</v>
      </c>
    </row>
    <row r="25" spans="2:22" ht="15">
      <c r="B25" s="111">
        <v>0</v>
      </c>
      <c r="C25" s="102">
        <f aca="true" t="shared" si="3" ref="C25:K35">((0+$B25)/(0.0000000567*C$6*0.004652626))^0.25-273</f>
        <v>-273</v>
      </c>
      <c r="D25" s="102">
        <f t="shared" si="3"/>
        <v>-273</v>
      </c>
      <c r="E25" s="102">
        <f t="shared" si="3"/>
        <v>-273</v>
      </c>
      <c r="F25" s="102">
        <f t="shared" si="3"/>
        <v>-273</v>
      </c>
      <c r="G25" s="102">
        <f t="shared" si="3"/>
        <v>-273</v>
      </c>
      <c r="H25" s="102">
        <f t="shared" si="3"/>
        <v>-273</v>
      </c>
      <c r="I25" s="102">
        <f t="shared" si="3"/>
        <v>-273</v>
      </c>
      <c r="J25" s="102">
        <f t="shared" si="3"/>
        <v>-273</v>
      </c>
      <c r="K25" s="102">
        <f t="shared" si="3"/>
        <v>-273</v>
      </c>
      <c r="M25" s="111">
        <v>0</v>
      </c>
      <c r="N25" s="102">
        <f>((354+$B25)/(0.0000000567*N$6*0.004652626))^0.25-273</f>
        <v>332.24403085427537</v>
      </c>
      <c r="O25" s="102">
        <f aca="true" t="shared" si="4" ref="O25:V35">((354+$B25)/(0.0000000567*O$6*0.004652626))^0.25-273</f>
        <v>235.94753589906895</v>
      </c>
      <c r="P25" s="102">
        <f t="shared" si="4"/>
        <v>131.75107777864713</v>
      </c>
      <c r="Q25" s="102">
        <f t="shared" si="4"/>
        <v>86.88025390241546</v>
      </c>
      <c r="R25" s="102">
        <f t="shared" si="4"/>
        <v>67.35373037414195</v>
      </c>
      <c r="S25" s="102">
        <f t="shared" si="4"/>
        <v>13.202231789845143</v>
      </c>
      <c r="T25" s="102">
        <f t="shared" si="4"/>
        <v>-45.39174254973358</v>
      </c>
      <c r="U25" s="102">
        <f t="shared" si="4"/>
        <v>-70.62446111067644</v>
      </c>
      <c r="V25" s="102">
        <f t="shared" si="4"/>
        <v>-81.6050322279263</v>
      </c>
    </row>
    <row r="26" spans="2:22" ht="15">
      <c r="B26" s="112">
        <v>1</v>
      </c>
      <c r="C26" s="113">
        <f t="shared" si="3"/>
        <v>-133.4661107841468</v>
      </c>
      <c r="D26" s="113">
        <f t="shared" si="3"/>
        <v>-155.66645275198005</v>
      </c>
      <c r="E26" s="113">
        <f t="shared" si="3"/>
        <v>-179.68806437124402</v>
      </c>
      <c r="F26" s="113">
        <f t="shared" si="3"/>
        <v>-190.03265308025294</v>
      </c>
      <c r="G26" s="113">
        <f t="shared" si="3"/>
        <v>-194.53432782939376</v>
      </c>
      <c r="H26" s="113">
        <f t="shared" si="3"/>
        <v>-207.01849755126403</v>
      </c>
      <c r="I26" s="113">
        <f t="shared" si="3"/>
        <v>-220.52684246244883</v>
      </c>
      <c r="J26" s="113">
        <f t="shared" si="3"/>
        <v>-226.344032185622</v>
      </c>
      <c r="K26" s="113">
        <f t="shared" si="3"/>
        <v>-228.8755099296298</v>
      </c>
      <c r="M26" s="112">
        <v>1</v>
      </c>
      <c r="N26" s="113">
        <f aca="true" t="shared" si="5" ref="N26:N35">((354+$B26)/(0.0000000567*N$6*0.004652626))^0.25-273</f>
        <v>332.671011035755</v>
      </c>
      <c r="O26" s="113">
        <f t="shared" si="4"/>
        <v>236.30658200305953</v>
      </c>
      <c r="P26" s="113">
        <f t="shared" si="4"/>
        <v>132.0366166354287</v>
      </c>
      <c r="Q26" s="113">
        <f t="shared" si="4"/>
        <v>87.13413783730584</v>
      </c>
      <c r="R26" s="113">
        <f t="shared" si="4"/>
        <v>67.5938389752252</v>
      </c>
      <c r="S26" s="113">
        <f t="shared" si="4"/>
        <v>13.40413825176762</v>
      </c>
      <c r="T26" s="113">
        <f t="shared" si="4"/>
        <v>-45.231172250617504</v>
      </c>
      <c r="U26" s="113">
        <f t="shared" si="4"/>
        <v>-70.48169168228566</v>
      </c>
      <c r="V26" s="113">
        <f t="shared" si="4"/>
        <v>-81.47000923900356</v>
      </c>
    </row>
    <row r="27" spans="2:22" ht="15">
      <c r="B27" s="111">
        <v>10</v>
      </c>
      <c r="C27" s="102">
        <f t="shared" si="3"/>
        <v>-24.86975780479608</v>
      </c>
      <c r="D27" s="102">
        <f t="shared" si="3"/>
        <v>-64.34816882201713</v>
      </c>
      <c r="E27" s="102">
        <f t="shared" si="3"/>
        <v>-107.06530616050597</v>
      </c>
      <c r="F27" s="102">
        <f t="shared" si="3"/>
        <v>-125.46087526705762</v>
      </c>
      <c r="G27" s="102">
        <f t="shared" si="3"/>
        <v>-133.4661107841468</v>
      </c>
      <c r="H27" s="102">
        <f t="shared" si="3"/>
        <v>-155.66645275198005</v>
      </c>
      <c r="I27" s="102">
        <f t="shared" si="3"/>
        <v>-179.68806437124402</v>
      </c>
      <c r="J27" s="102">
        <f t="shared" si="3"/>
        <v>-190.03265308025294</v>
      </c>
      <c r="K27" s="102">
        <f t="shared" si="3"/>
        <v>-194.53432782939376</v>
      </c>
      <c r="M27" s="111">
        <v>10</v>
      </c>
      <c r="N27" s="102">
        <f t="shared" si="5"/>
        <v>336.4738061988204</v>
      </c>
      <c r="O27" s="102">
        <f t="shared" si="4"/>
        <v>239.50433882362495</v>
      </c>
      <c r="P27" s="102">
        <f t="shared" si="4"/>
        <v>134.57969903253957</v>
      </c>
      <c r="Q27" s="102">
        <f t="shared" si="4"/>
        <v>89.39529336971316</v>
      </c>
      <c r="R27" s="102">
        <f t="shared" si="4"/>
        <v>69.73230784665054</v>
      </c>
      <c r="S27" s="102">
        <f t="shared" si="4"/>
        <v>15.202369059880823</v>
      </c>
      <c r="T27" s="102">
        <f t="shared" si="4"/>
        <v>-43.80109192535792</v>
      </c>
      <c r="U27" s="102">
        <f t="shared" si="4"/>
        <v>-69.21015048373022</v>
      </c>
      <c r="V27" s="102">
        <f t="shared" si="4"/>
        <v>-80.26745981996791</v>
      </c>
    </row>
    <row r="28" spans="2:22" ht="15">
      <c r="B28" s="112">
        <v>20</v>
      </c>
      <c r="C28" s="113">
        <f t="shared" si="3"/>
        <v>22.078249465884767</v>
      </c>
      <c r="D28" s="113">
        <f t="shared" si="3"/>
        <v>-24.86975780479608</v>
      </c>
      <c r="E28" s="113">
        <f t="shared" si="3"/>
        <v>-75.66928146027544</v>
      </c>
      <c r="F28" s="113">
        <f t="shared" si="3"/>
        <v>-97.54542312631091</v>
      </c>
      <c r="G28" s="113">
        <f t="shared" si="3"/>
        <v>-107.06530616050597</v>
      </c>
      <c r="H28" s="113">
        <f t="shared" si="3"/>
        <v>-133.4661107841468</v>
      </c>
      <c r="I28" s="113">
        <f t="shared" si="3"/>
        <v>-162.03278223560753</v>
      </c>
      <c r="J28" s="113">
        <f t="shared" si="3"/>
        <v>-174.33464073013772</v>
      </c>
      <c r="K28" s="113">
        <f t="shared" si="3"/>
        <v>-179.68806437124402</v>
      </c>
      <c r="M28" s="112">
        <v>20</v>
      </c>
      <c r="N28" s="113">
        <f t="shared" si="5"/>
        <v>340.6173065285926</v>
      </c>
      <c r="O28" s="113">
        <f t="shared" si="4"/>
        <v>242.98859339753346</v>
      </c>
      <c r="P28" s="113">
        <f t="shared" si="4"/>
        <v>137.35062470674177</v>
      </c>
      <c r="Q28" s="113">
        <f t="shared" si="4"/>
        <v>91.85903340630415</v>
      </c>
      <c r="R28" s="113">
        <f t="shared" si="4"/>
        <v>72.06236931302163</v>
      </c>
      <c r="S28" s="113">
        <f t="shared" si="4"/>
        <v>17.16170939427309</v>
      </c>
      <c r="T28" s="113">
        <f t="shared" si="4"/>
        <v>-42.2428859097233</v>
      </c>
      <c r="U28" s="113">
        <f t="shared" si="4"/>
        <v>-67.82468764662914</v>
      </c>
      <c r="V28" s="113">
        <f t="shared" si="4"/>
        <v>-78.9571699671938</v>
      </c>
    </row>
    <row r="29" spans="2:22" ht="15">
      <c r="B29" s="111">
        <v>50</v>
      </c>
      <c r="C29" s="102">
        <f t="shared" si="3"/>
        <v>98.04125525072442</v>
      </c>
      <c r="D29" s="102">
        <f t="shared" si="3"/>
        <v>39.007261451572504</v>
      </c>
      <c r="E29" s="102">
        <f t="shared" si="3"/>
        <v>-24.86975780479608</v>
      </c>
      <c r="F29" s="102">
        <f t="shared" si="3"/>
        <v>-52.37754964814903</v>
      </c>
      <c r="G29" s="102">
        <f t="shared" si="3"/>
        <v>-64.34816882201713</v>
      </c>
      <c r="H29" s="102">
        <f t="shared" si="3"/>
        <v>-97.54542312631091</v>
      </c>
      <c r="I29" s="102">
        <f t="shared" si="3"/>
        <v>-133.4661107841468</v>
      </c>
      <c r="J29" s="102">
        <f t="shared" si="3"/>
        <v>-148.93487890239805</v>
      </c>
      <c r="K29" s="102">
        <f t="shared" si="3"/>
        <v>-155.66645275198005</v>
      </c>
      <c r="M29" s="111">
        <v>50</v>
      </c>
      <c r="N29" s="102">
        <f t="shared" si="5"/>
        <v>352.5687429671759</v>
      </c>
      <c r="O29" s="102">
        <f t="shared" si="4"/>
        <v>253.03851345587088</v>
      </c>
      <c r="P29" s="102">
        <f t="shared" si="4"/>
        <v>145.3430319555863</v>
      </c>
      <c r="Q29" s="102">
        <f t="shared" si="4"/>
        <v>98.9654000299372</v>
      </c>
      <c r="R29" s="102">
        <f t="shared" si="4"/>
        <v>78.78315591782251</v>
      </c>
      <c r="S29" s="102">
        <f t="shared" si="4"/>
        <v>22.813194757935605</v>
      </c>
      <c r="T29" s="102">
        <f t="shared" si="4"/>
        <v>-37.748425025947114</v>
      </c>
      <c r="U29" s="102">
        <f t="shared" si="4"/>
        <v>-63.82848402220688</v>
      </c>
      <c r="V29" s="102">
        <f t="shared" si="4"/>
        <v>-75.17779392152838</v>
      </c>
    </row>
    <row r="30" spans="2:22" ht="15">
      <c r="B30" s="112">
        <v>80</v>
      </c>
      <c r="C30" s="113">
        <f t="shared" si="3"/>
        <v>144.30366235596574</v>
      </c>
      <c r="D30" s="113">
        <f t="shared" si="3"/>
        <v>77.90915374737824</v>
      </c>
      <c r="E30" s="113">
        <f t="shared" si="3"/>
        <v>6.067778431706472</v>
      </c>
      <c r="F30" s="113">
        <f t="shared" si="3"/>
        <v>-24.86975780479608</v>
      </c>
      <c r="G30" s="113">
        <f t="shared" si="3"/>
        <v>-38.33290550396029</v>
      </c>
      <c r="H30" s="113">
        <f t="shared" si="3"/>
        <v>-75.66928146027544</v>
      </c>
      <c r="I30" s="113">
        <f t="shared" si="3"/>
        <v>-116.06865565878752</v>
      </c>
      <c r="J30" s="113">
        <f t="shared" si="3"/>
        <v>-133.4661107841468</v>
      </c>
      <c r="K30" s="113">
        <f t="shared" si="3"/>
        <v>-141.03699510252807</v>
      </c>
      <c r="M30" s="112">
        <v>80</v>
      </c>
      <c r="N30" s="113">
        <f t="shared" si="5"/>
        <v>363.8719651405204</v>
      </c>
      <c r="O30" s="113">
        <f t="shared" si="4"/>
        <v>262.5433524622524</v>
      </c>
      <c r="P30" s="113">
        <f t="shared" si="4"/>
        <v>152.90195219900488</v>
      </c>
      <c r="Q30" s="113">
        <f t="shared" si="4"/>
        <v>105.68633614543603</v>
      </c>
      <c r="R30" s="113">
        <f t="shared" si="4"/>
        <v>85.13942485370222</v>
      </c>
      <c r="S30" s="113">
        <f t="shared" si="4"/>
        <v>28.15815852050514</v>
      </c>
      <c r="T30" s="113">
        <f t="shared" si="4"/>
        <v>-33.49773179925495</v>
      </c>
      <c r="U30" s="113">
        <f t="shared" si="4"/>
        <v>-60.04902390049759</v>
      </c>
      <c r="V30" s="113">
        <f t="shared" si="4"/>
        <v>-71.60340122485971</v>
      </c>
    </row>
    <row r="31" spans="2:22" ht="15">
      <c r="B31" s="111">
        <v>100</v>
      </c>
      <c r="C31" s="102">
        <f t="shared" si="3"/>
        <v>168.244900703702</v>
      </c>
      <c r="D31" s="102">
        <f t="shared" si="3"/>
        <v>98.04125525072442</v>
      </c>
      <c r="E31" s="102">
        <f t="shared" si="3"/>
        <v>22.078249465884767</v>
      </c>
      <c r="F31" s="102">
        <f t="shared" si="3"/>
        <v>-10.63421231224413</v>
      </c>
      <c r="G31" s="102">
        <f t="shared" si="3"/>
        <v>-24.86975780479608</v>
      </c>
      <c r="H31" s="102">
        <f t="shared" si="3"/>
        <v>-64.34816882201713</v>
      </c>
      <c r="I31" s="102">
        <f t="shared" si="3"/>
        <v>-107.06530616050597</v>
      </c>
      <c r="J31" s="102">
        <f t="shared" si="3"/>
        <v>-125.46087526705762</v>
      </c>
      <c r="K31" s="102">
        <f t="shared" si="3"/>
        <v>-133.4661107841468</v>
      </c>
      <c r="M31" s="111">
        <v>100</v>
      </c>
      <c r="N31" s="102">
        <f t="shared" si="5"/>
        <v>371.08570832821954</v>
      </c>
      <c r="O31" s="102">
        <f t="shared" si="4"/>
        <v>268.6093632493496</v>
      </c>
      <c r="P31" s="102">
        <f t="shared" si="4"/>
        <v>157.72607301836842</v>
      </c>
      <c r="Q31" s="102">
        <f t="shared" si="4"/>
        <v>109.97565350774317</v>
      </c>
      <c r="R31" s="102">
        <f>((354+$B31)/(0.0000000567*R$6*0.004652626))^0.25-273</f>
        <v>89.19601075745555</v>
      </c>
      <c r="S31" s="102">
        <f t="shared" si="4"/>
        <v>31.569327065140328</v>
      </c>
      <c r="T31" s="102">
        <f t="shared" si="4"/>
        <v>-30.784929304815705</v>
      </c>
      <c r="U31" s="102">
        <f t="shared" si="4"/>
        <v>-57.63696349081579</v>
      </c>
      <c r="V31" s="102">
        <f t="shared" si="4"/>
        <v>-69.32221533199439</v>
      </c>
    </row>
    <row r="32" spans="2:22" ht="15">
      <c r="B32" s="112">
        <v>200</v>
      </c>
      <c r="C32" s="113">
        <f t="shared" si="3"/>
        <v>251.73157537551185</v>
      </c>
      <c r="D32" s="113">
        <f t="shared" si="3"/>
        <v>168.244900703702</v>
      </c>
      <c r="E32" s="113">
        <f t="shared" si="3"/>
        <v>77.90915374737824</v>
      </c>
      <c r="F32" s="113">
        <f t="shared" si="3"/>
        <v>39.007261451572504</v>
      </c>
      <c r="G32" s="113">
        <f t="shared" si="3"/>
        <v>22.078249465884767</v>
      </c>
      <c r="H32" s="113">
        <f t="shared" si="3"/>
        <v>-24.86975780479608</v>
      </c>
      <c r="I32" s="113">
        <f t="shared" si="3"/>
        <v>-75.66928146027544</v>
      </c>
      <c r="J32" s="113">
        <f t="shared" si="3"/>
        <v>-97.54542312631091</v>
      </c>
      <c r="K32" s="113">
        <f t="shared" si="3"/>
        <v>-107.06530616050597</v>
      </c>
      <c r="M32" s="112">
        <v>200</v>
      </c>
      <c r="N32" s="113">
        <f t="shared" si="5"/>
        <v>403.95085427796107</v>
      </c>
      <c r="O32" s="113">
        <f t="shared" si="4"/>
        <v>296.2455466652774</v>
      </c>
      <c r="P32" s="113">
        <f t="shared" si="4"/>
        <v>179.70432074389322</v>
      </c>
      <c r="Q32" s="113">
        <f t="shared" si="4"/>
        <v>129.51738620726093</v>
      </c>
      <c r="R32" s="113">
        <f t="shared" si="4"/>
        <v>107.67744048340779</v>
      </c>
      <c r="S32" s="113">
        <f t="shared" si="4"/>
        <v>47.11029507045674</v>
      </c>
      <c r="T32" s="113">
        <f t="shared" si="4"/>
        <v>-18.42565235348232</v>
      </c>
      <c r="U32" s="113">
        <f t="shared" si="4"/>
        <v>-46.64783962805342</v>
      </c>
      <c r="V32" s="113">
        <f t="shared" si="4"/>
        <v>-58.92934364849029</v>
      </c>
    </row>
    <row r="33" spans="2:22" ht="15">
      <c r="B33" s="111">
        <v>500</v>
      </c>
      <c r="C33" s="102">
        <f t="shared" si="3"/>
        <v>386.81502448735966</v>
      </c>
      <c r="D33" s="102">
        <f t="shared" si="3"/>
        <v>281.83608882196245</v>
      </c>
      <c r="E33" s="102">
        <f t="shared" si="3"/>
        <v>168.244900703702</v>
      </c>
      <c r="F33" s="102">
        <f t="shared" si="3"/>
        <v>119.3283608530312</v>
      </c>
      <c r="G33" s="102">
        <f t="shared" si="3"/>
        <v>98.04125525072442</v>
      </c>
      <c r="H33" s="102">
        <f t="shared" si="3"/>
        <v>39.007261451572504</v>
      </c>
      <c r="I33" s="102">
        <f t="shared" si="3"/>
        <v>-24.86975780479608</v>
      </c>
      <c r="J33" s="102">
        <f t="shared" si="3"/>
        <v>-52.37754964814883</v>
      </c>
      <c r="K33" s="102">
        <f t="shared" si="3"/>
        <v>-64.34816882201713</v>
      </c>
      <c r="M33" s="111">
        <v>500</v>
      </c>
      <c r="N33" s="102">
        <f t="shared" si="5"/>
        <v>481.30010318251607</v>
      </c>
      <c r="O33" s="102">
        <f t="shared" si="4"/>
        <v>361.28825279168495</v>
      </c>
      <c r="P33" s="102">
        <f t="shared" si="4"/>
        <v>231.43088104602248</v>
      </c>
      <c r="Q33" s="102">
        <f t="shared" si="4"/>
        <v>175.50952477596752</v>
      </c>
      <c r="R33" s="102">
        <f t="shared" si="4"/>
        <v>151.174119614873</v>
      </c>
      <c r="S33" s="102">
        <f t="shared" si="4"/>
        <v>83.68649662754717</v>
      </c>
      <c r="T33" s="102">
        <f t="shared" si="4"/>
        <v>10.662330114355541</v>
      </c>
      <c r="U33" s="102">
        <f t="shared" si="4"/>
        <v>-20.78455947698879</v>
      </c>
      <c r="V33" s="102">
        <f t="shared" si="4"/>
        <v>-34.46936346432253</v>
      </c>
    </row>
    <row r="34" spans="2:22" ht="15">
      <c r="B34" s="112">
        <v>800</v>
      </c>
      <c r="C34" s="113">
        <f t="shared" si="3"/>
        <v>469.08251050144884</v>
      </c>
      <c r="D34" s="113">
        <f t="shared" si="3"/>
        <v>351.014522903145</v>
      </c>
      <c r="E34" s="113">
        <f t="shared" si="3"/>
        <v>223.2604843904079</v>
      </c>
      <c r="F34" s="113">
        <f t="shared" si="3"/>
        <v>168.244900703702</v>
      </c>
      <c r="G34" s="113">
        <f t="shared" si="3"/>
        <v>144.30366235596574</v>
      </c>
      <c r="H34" s="113">
        <f t="shared" si="3"/>
        <v>77.90915374737824</v>
      </c>
      <c r="I34" s="113">
        <f t="shared" si="3"/>
        <v>6.067778431706472</v>
      </c>
      <c r="J34" s="113">
        <f t="shared" si="3"/>
        <v>-24.86975780479608</v>
      </c>
      <c r="K34" s="113">
        <f t="shared" si="3"/>
        <v>-38.33290550396029</v>
      </c>
      <c r="M34" s="112">
        <v>800</v>
      </c>
      <c r="N34" s="113">
        <f t="shared" si="5"/>
        <v>540.2632573992182</v>
      </c>
      <c r="O34" s="113">
        <f t="shared" si="4"/>
        <v>410.8701578045618</v>
      </c>
      <c r="P34" s="113">
        <f t="shared" si="4"/>
        <v>270.8619187792717</v>
      </c>
      <c r="Q34" s="113">
        <f t="shared" si="4"/>
        <v>210.56922603472003</v>
      </c>
      <c r="R34" s="113">
        <f t="shared" si="4"/>
        <v>184.3315378944962</v>
      </c>
      <c r="S34" s="113">
        <f t="shared" si="4"/>
        <v>111.56845079795033</v>
      </c>
      <c r="T34" s="113">
        <f t="shared" si="4"/>
        <v>32.83603212690156</v>
      </c>
      <c r="U34" s="113">
        <f t="shared" si="4"/>
        <v>-1.0690406103641976</v>
      </c>
      <c r="V34" s="113">
        <f t="shared" si="4"/>
        <v>-15.823576929068508</v>
      </c>
    </row>
    <row r="35" spans="2:22" ht="15">
      <c r="B35" s="111">
        <v>1000</v>
      </c>
      <c r="C35" s="102">
        <f t="shared" si="3"/>
        <v>511.6567217060625</v>
      </c>
      <c r="D35" s="102">
        <f t="shared" si="3"/>
        <v>386.81502448735966</v>
      </c>
      <c r="E35" s="102">
        <f t="shared" si="3"/>
        <v>251.73157537551185</v>
      </c>
      <c r="F35" s="102">
        <f t="shared" si="3"/>
        <v>193.55967814377993</v>
      </c>
      <c r="G35" s="102">
        <f t="shared" si="3"/>
        <v>168.244900703702</v>
      </c>
      <c r="H35" s="102">
        <f t="shared" si="3"/>
        <v>98.04125525072442</v>
      </c>
      <c r="I35" s="102">
        <f t="shared" si="3"/>
        <v>22.078249465884767</v>
      </c>
      <c r="J35" s="102">
        <f t="shared" si="3"/>
        <v>-10.63421231224413</v>
      </c>
      <c r="K35" s="102">
        <f t="shared" si="3"/>
        <v>-24.86975780479608</v>
      </c>
      <c r="M35" s="111">
        <v>1000</v>
      </c>
      <c r="N35" s="102">
        <f t="shared" si="5"/>
        <v>573.416976811903</v>
      </c>
      <c r="O35" s="102">
        <f t="shared" si="4"/>
        <v>438.7490016110154</v>
      </c>
      <c r="P35" s="102">
        <f t="shared" si="4"/>
        <v>293.0331472104133</v>
      </c>
      <c r="Q35" s="102">
        <f t="shared" si="4"/>
        <v>230.28254554190391</v>
      </c>
      <c r="R35" s="102">
        <f t="shared" si="4"/>
        <v>202.9752444040144</v>
      </c>
      <c r="S35" s="102">
        <f t="shared" si="4"/>
        <v>127.24587676884653</v>
      </c>
      <c r="T35" s="102">
        <f t="shared" si="4"/>
        <v>45.3038301039677</v>
      </c>
      <c r="U35" s="102">
        <f t="shared" si="4"/>
        <v>10.016573605206645</v>
      </c>
      <c r="V35" s="102">
        <f t="shared" si="4"/>
        <v>-5.339450304046295</v>
      </c>
    </row>
    <row r="36" spans="2:22" ht="13.5" thickBot="1"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</row>
  </sheetData>
  <sheetProtection/>
  <mergeCells count="18">
    <mergeCell ref="B2:K2"/>
    <mergeCell ref="M2:V2"/>
    <mergeCell ref="B3:K4"/>
    <mergeCell ref="M3:V4"/>
    <mergeCell ref="B5:B6"/>
    <mergeCell ref="C5:K5"/>
    <mergeCell ref="M5:M6"/>
    <mergeCell ref="N5:V5"/>
    <mergeCell ref="B36:K36"/>
    <mergeCell ref="M36:V36"/>
    <mergeCell ref="B18:K18"/>
    <mergeCell ref="M18:V18"/>
    <mergeCell ref="B21:K22"/>
    <mergeCell ref="M21:V22"/>
    <mergeCell ref="B23:B24"/>
    <mergeCell ref="C23:K23"/>
    <mergeCell ref="M23:M24"/>
    <mergeCell ref="N23:V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